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autoCompressPictures="0" defaultThemeVersion="166925"/>
  <mc:AlternateContent xmlns:mc="http://schemas.openxmlformats.org/markup-compatibility/2006">
    <mc:Choice Requires="x15">
      <x15ac:absPath xmlns:x15ac="http://schemas.microsoft.com/office/spreadsheetml/2010/11/ac" url="T:\rvo\Kluis_Beleidsadvisering_SDE_MEP\2025\Rekentool ISDE 2025\"/>
    </mc:Choice>
  </mc:AlternateContent>
  <xr:revisionPtr revIDLastSave="0" documentId="13_ncr:1_{5D605BE9-5E46-43DB-85AF-2E7480A6F59C}" xr6:coauthVersionLast="47" xr6:coauthVersionMax="47" xr10:uidLastSave="{00000000-0000-0000-0000-000000000000}"/>
  <workbookProtection workbookAlgorithmName="SHA-512" workbookHashValue="q2MnhzVfjv6/QC0GLBvKoDlh6DjjrUjwIvxf1m6xcL9a6/FgC1CF4j9oQVUgyyx5spEwpsUT0SbuR+U4l9H6Yw==" workbookSaltValue="G/RP3ZNMsugRFnk8Tk9nFg==" workbookSpinCount="100000" lockStructure="1"/>
  <bookViews>
    <workbookView xWindow="-120" yWindow="-120" windowWidth="29040" windowHeight="15840" xr2:uid="{06C84F82-475F-47D1-A093-DF452E609559}"/>
  </bookViews>
  <sheets>
    <sheet name="Keuzeblad maatregelen" sheetId="1" r:id="rId1"/>
    <sheet name="Afdrukoverzicht subsidiebedrag" sheetId="3" r:id="rId2"/>
    <sheet name="Hulpblad" sheetId="2" state="hidden" r:id="rId3"/>
  </sheets>
  <definedNames>
    <definedName name="_xlnm.Print_Area" localSheetId="1">'Afdrukoverzicht subsidiebedrag'!$A$1:$D$30</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E18" i="1"/>
  <c r="C221" i="2"/>
  <c r="D189" i="2" l="1"/>
  <c r="F189" i="2" s="1"/>
  <c r="D188" i="2"/>
  <c r="E188" i="2" s="1"/>
  <c r="D187" i="2"/>
  <c r="F187" i="2" s="1"/>
  <c r="D186" i="2"/>
  <c r="E186" i="2" s="1"/>
  <c r="D185" i="2"/>
  <c r="F185" i="2" s="1"/>
  <c r="D184" i="2"/>
  <c r="E184" i="2" s="1"/>
  <c r="D183" i="2"/>
  <c r="F183" i="2" s="1"/>
  <c r="D182" i="2"/>
  <c r="E182" i="2" s="1"/>
  <c r="D181" i="2"/>
  <c r="D180" i="2"/>
  <c r="E180" i="2" s="1"/>
  <c r="D179" i="2"/>
  <c r="F179" i="2" s="1"/>
  <c r="D178" i="2"/>
  <c r="E178" i="2" s="1"/>
  <c r="E190" i="2" s="1"/>
  <c r="B181" i="2"/>
  <c r="B180" i="2"/>
  <c r="G85" i="1"/>
  <c r="K114" i="1"/>
  <c r="D161" i="2"/>
  <c r="D160" i="2"/>
  <c r="C158" i="2"/>
  <c r="D149" i="2"/>
  <c r="D148" i="2"/>
  <c r="C146" i="2"/>
  <c r="C134" i="2"/>
  <c r="B174" i="2"/>
  <c r="B173" i="2"/>
  <c r="B172" i="2"/>
  <c r="B171" i="2"/>
  <c r="D137" i="2"/>
  <c r="D136" i="2"/>
  <c r="D125" i="2"/>
  <c r="D124" i="2"/>
  <c r="C122" i="2"/>
  <c r="D113" i="2"/>
  <c r="D112" i="2"/>
  <c r="D101" i="2"/>
  <c r="D100" i="2"/>
  <c r="C110" i="2"/>
  <c r="I366" i="2"/>
  <c r="I350" i="2"/>
  <c r="C98" i="2"/>
  <c r="C105" i="2"/>
  <c r="F181" i="2" l="1"/>
  <c r="F190" i="2" s="1"/>
  <c r="D190" i="2"/>
  <c r="B183" i="2" s="1"/>
  <c r="C165" i="2"/>
  <c r="C164" i="2"/>
  <c r="C153" i="2"/>
  <c r="C152" i="2"/>
  <c r="C141" i="2"/>
  <c r="C140" i="2"/>
  <c r="C129" i="2"/>
  <c r="C128" i="2"/>
  <c r="C117" i="2"/>
  <c r="C116" i="2"/>
  <c r="C104" i="2"/>
  <c r="C205" i="2"/>
  <c r="B179" i="2" l="1"/>
  <c r="B182" i="2"/>
  <c r="B10" i="3"/>
  <c r="C49" i="2"/>
  <c r="C79" i="2"/>
  <c r="C73" i="2"/>
  <c r="C67" i="2"/>
  <c r="C61" i="2"/>
  <c r="C55" i="2"/>
  <c r="C43" i="2"/>
  <c r="C25" i="2"/>
  <c r="C31" i="2"/>
  <c r="C32" i="2" s="1"/>
  <c r="I69" i="1" s="1"/>
  <c r="I367" i="2"/>
  <c r="I368" i="2"/>
  <c r="I369" i="2"/>
  <c r="I370" i="2"/>
  <c r="I371" i="2"/>
  <c r="I351" i="2"/>
  <c r="I352" i="2"/>
  <c r="I353" i="2"/>
  <c r="I354" i="2"/>
  <c r="I355" i="2"/>
  <c r="I335" i="2"/>
  <c r="I336" i="2"/>
  <c r="I337" i="2"/>
  <c r="I338" i="2"/>
  <c r="I339" i="2"/>
  <c r="C68" i="2" l="1"/>
  <c r="I75" i="1" s="1"/>
  <c r="C80" i="2"/>
  <c r="I77" i="1" s="1"/>
  <c r="G52" i="1"/>
  <c r="G58" i="1"/>
  <c r="G34" i="1"/>
  <c r="C19" i="2"/>
  <c r="E128" i="1"/>
  <c r="G129" i="1"/>
  <c r="I511" i="2"/>
  <c r="F510" i="2"/>
  <c r="F509" i="2"/>
  <c r="I508" i="2"/>
  <c r="F508" i="2"/>
  <c r="I507" i="2"/>
  <c r="F507" i="2"/>
  <c r="I506" i="2"/>
  <c r="I505" i="2"/>
  <c r="I504" i="2"/>
  <c r="C220" i="2"/>
  <c r="I572" i="2"/>
  <c r="D572" i="2"/>
  <c r="F572" i="2" s="1"/>
  <c r="I571" i="2"/>
  <c r="D571" i="2"/>
  <c r="F571" i="2" s="1"/>
  <c r="I570" i="2"/>
  <c r="D570" i="2"/>
  <c r="F570" i="2" s="1"/>
  <c r="I569" i="2"/>
  <c r="D569" i="2"/>
  <c r="F569" i="2" s="1"/>
  <c r="D568" i="2"/>
  <c r="F568" i="2" s="1"/>
  <c r="I567" i="2"/>
  <c r="F566" i="2"/>
  <c r="F565" i="2"/>
  <c r="I564" i="2"/>
  <c r="F564" i="2"/>
  <c r="I563" i="2"/>
  <c r="F563" i="2"/>
  <c r="I562" i="2"/>
  <c r="F561" i="2"/>
  <c r="F560" i="2"/>
  <c r="I559" i="2"/>
  <c r="F559" i="2"/>
  <c r="I558" i="2"/>
  <c r="F558" i="2"/>
  <c r="I557" i="2"/>
  <c r="I556" i="2"/>
  <c r="F556" i="2"/>
  <c r="I555" i="2"/>
  <c r="F555" i="2"/>
  <c r="I554" i="2"/>
  <c r="F554" i="2"/>
  <c r="I553" i="2"/>
  <c r="F553" i="2"/>
  <c r="I552" i="2"/>
  <c r="I551" i="2"/>
  <c r="D551" i="2"/>
  <c r="F551" i="2" s="1"/>
  <c r="I550" i="2"/>
  <c r="D550" i="2"/>
  <c r="F550" i="2" s="1"/>
  <c r="I549" i="2"/>
  <c r="D549" i="2"/>
  <c r="F549" i="2" s="1"/>
  <c r="I548" i="2"/>
  <c r="D548" i="2"/>
  <c r="F548" i="2" s="1"/>
  <c r="D547" i="2"/>
  <c r="F547" i="2" s="1"/>
  <c r="I546" i="2"/>
  <c r="F545" i="2"/>
  <c r="F544" i="2"/>
  <c r="I543" i="2"/>
  <c r="F543" i="2"/>
  <c r="I542" i="2"/>
  <c r="F542" i="2"/>
  <c r="I541" i="2"/>
  <c r="F540" i="2"/>
  <c r="F539" i="2"/>
  <c r="I538" i="2"/>
  <c r="F538" i="2"/>
  <c r="I537" i="2"/>
  <c r="F537" i="2"/>
  <c r="I536" i="2"/>
  <c r="I535" i="2"/>
  <c r="F535" i="2"/>
  <c r="I534" i="2"/>
  <c r="F534" i="2"/>
  <c r="I533" i="2"/>
  <c r="F533" i="2"/>
  <c r="I532" i="2"/>
  <c r="F532" i="2"/>
  <c r="I531" i="2"/>
  <c r="I530" i="2"/>
  <c r="D530" i="2"/>
  <c r="F530" i="2" s="1"/>
  <c r="I529" i="2"/>
  <c r="D529" i="2"/>
  <c r="F529" i="2" s="1"/>
  <c r="I528" i="2"/>
  <c r="D528" i="2"/>
  <c r="F528" i="2" s="1"/>
  <c r="I527" i="2"/>
  <c r="D527" i="2"/>
  <c r="F527" i="2" s="1"/>
  <c r="D526" i="2"/>
  <c r="F526" i="2" s="1"/>
  <c r="I525" i="2"/>
  <c r="F524" i="2"/>
  <c r="F523" i="2"/>
  <c r="I522" i="2"/>
  <c r="F522" i="2"/>
  <c r="I521" i="2"/>
  <c r="F521" i="2"/>
  <c r="I520" i="2"/>
  <c r="I519" i="2"/>
  <c r="F519" i="2"/>
  <c r="I518" i="2"/>
  <c r="F518" i="2"/>
  <c r="I517" i="2"/>
  <c r="F517" i="2"/>
  <c r="I516" i="2"/>
  <c r="F516" i="2"/>
  <c r="I515" i="2"/>
  <c r="I514" i="2"/>
  <c r="I513" i="2"/>
  <c r="E141" i="1"/>
  <c r="D497" i="2"/>
  <c r="F497" i="2" s="1"/>
  <c r="D455" i="2"/>
  <c r="F455" i="2" s="1"/>
  <c r="D476" i="2"/>
  <c r="F476" i="2" s="1"/>
  <c r="D436" i="2"/>
  <c r="F436" i="2" s="1"/>
  <c r="D415" i="2"/>
  <c r="F415" i="2" s="1"/>
  <c r="I415" i="2"/>
  <c r="D394" i="2"/>
  <c r="F394" i="2" s="1"/>
  <c r="B21" i="3"/>
  <c r="I501" i="2"/>
  <c r="I500" i="2"/>
  <c r="I499" i="2"/>
  <c r="I498" i="2"/>
  <c r="I496" i="2"/>
  <c r="I493" i="2"/>
  <c r="I492" i="2"/>
  <c r="I491" i="2"/>
  <c r="I488" i="2"/>
  <c r="I487" i="2"/>
  <c r="I486" i="2"/>
  <c r="I485" i="2"/>
  <c r="I484" i="2"/>
  <c r="I483" i="2"/>
  <c r="I482" i="2"/>
  <c r="I481" i="2"/>
  <c r="I480" i="2"/>
  <c r="I479" i="2"/>
  <c r="I478" i="2"/>
  <c r="I477" i="2"/>
  <c r="I475" i="2"/>
  <c r="I472" i="2"/>
  <c r="I471" i="2"/>
  <c r="I470" i="2"/>
  <c r="I467" i="2"/>
  <c r="I466" i="2"/>
  <c r="I465" i="2"/>
  <c r="I464" i="2"/>
  <c r="I463" i="2"/>
  <c r="I462" i="2"/>
  <c r="I461" i="2"/>
  <c r="I460" i="2"/>
  <c r="I459" i="2"/>
  <c r="I458" i="2"/>
  <c r="I457" i="2"/>
  <c r="I456" i="2"/>
  <c r="I454" i="2"/>
  <c r="I451" i="2"/>
  <c r="I450" i="2"/>
  <c r="I449" i="2"/>
  <c r="I448" i="2"/>
  <c r="I447" i="2"/>
  <c r="I446" i="2"/>
  <c r="I445" i="2"/>
  <c r="I444" i="2"/>
  <c r="I443" i="2"/>
  <c r="I442" i="2"/>
  <c r="I441" i="2"/>
  <c r="I399" i="2"/>
  <c r="I400" i="2"/>
  <c r="I401" i="2"/>
  <c r="I402" i="2"/>
  <c r="I403" i="2"/>
  <c r="I404" i="2"/>
  <c r="I405" i="2"/>
  <c r="I406" i="2"/>
  <c r="I407" i="2"/>
  <c r="I408" i="2"/>
  <c r="I409" i="2"/>
  <c r="I410" i="2"/>
  <c r="I411" i="2"/>
  <c r="I412" i="2"/>
  <c r="I413" i="2"/>
  <c r="I414" i="2"/>
  <c r="I416" i="2"/>
  <c r="I417" i="2"/>
  <c r="I418" i="2"/>
  <c r="I419" i="2"/>
  <c r="I420" i="2"/>
  <c r="I421" i="2"/>
  <c r="I422" i="2"/>
  <c r="I423" i="2"/>
  <c r="I424" i="2"/>
  <c r="I425" i="2"/>
  <c r="I426" i="2"/>
  <c r="I427" i="2"/>
  <c r="I428" i="2"/>
  <c r="I429" i="2"/>
  <c r="I430" i="2"/>
  <c r="I431" i="2"/>
  <c r="I432" i="2"/>
  <c r="I433" i="2"/>
  <c r="I434" i="2"/>
  <c r="I435" i="2"/>
  <c r="I437" i="2"/>
  <c r="I438" i="2"/>
  <c r="I439" i="2"/>
  <c r="I440" i="2"/>
  <c r="I381" i="2"/>
  <c r="I382" i="2"/>
  <c r="I383" i="2"/>
  <c r="I384" i="2"/>
  <c r="I385" i="2"/>
  <c r="I386" i="2"/>
  <c r="I387" i="2"/>
  <c r="I388" i="2"/>
  <c r="I389" i="2"/>
  <c r="I390" i="2"/>
  <c r="I391" i="2"/>
  <c r="I392" i="2"/>
  <c r="I393" i="2"/>
  <c r="I395" i="2"/>
  <c r="I396" i="2"/>
  <c r="I397" i="2"/>
  <c r="I398" i="2"/>
  <c r="C242" i="2"/>
  <c r="C254" i="2"/>
  <c r="F431" i="2"/>
  <c r="D438" i="2"/>
  <c r="F438" i="2" s="1"/>
  <c r="D439" i="2"/>
  <c r="F439" i="2" s="1"/>
  <c r="D440" i="2"/>
  <c r="F440" i="2" s="1"/>
  <c r="F426" i="2"/>
  <c r="D417" i="2"/>
  <c r="F417" i="2" s="1"/>
  <c r="D418" i="2"/>
  <c r="F418" i="2" s="1"/>
  <c r="D419" i="2"/>
  <c r="F419" i="2" s="1"/>
  <c r="F410" i="2"/>
  <c r="F405" i="2"/>
  <c r="D396" i="2"/>
  <c r="F396" i="2" s="1"/>
  <c r="D397" i="2"/>
  <c r="F397" i="2" s="1"/>
  <c r="D398" i="2"/>
  <c r="F398" i="2" s="1"/>
  <c r="F389" i="2"/>
  <c r="F421" i="2"/>
  <c r="F400" i="2"/>
  <c r="F384" i="2"/>
  <c r="D499" i="2"/>
  <c r="F499" i="2" s="1"/>
  <c r="D500" i="2"/>
  <c r="F500" i="2" s="1"/>
  <c r="D501" i="2"/>
  <c r="F501" i="2" s="1"/>
  <c r="F495" i="2"/>
  <c r="F494" i="2"/>
  <c r="F490" i="2"/>
  <c r="F489" i="2"/>
  <c r="F482" i="2"/>
  <c r="D478" i="2"/>
  <c r="F478" i="2" s="1"/>
  <c r="D479" i="2"/>
  <c r="F479" i="2" s="1"/>
  <c r="D480" i="2"/>
  <c r="F480" i="2" s="1"/>
  <c r="F474" i="2"/>
  <c r="F473" i="2"/>
  <c r="F469" i="2"/>
  <c r="F468" i="2"/>
  <c r="D457" i="2"/>
  <c r="F457" i="2" s="1"/>
  <c r="D458" i="2"/>
  <c r="F458" i="2" s="1"/>
  <c r="D459" i="2"/>
  <c r="F459" i="2" s="1"/>
  <c r="F453" i="2"/>
  <c r="F452" i="2"/>
  <c r="F461" i="2"/>
  <c r="F445" i="2"/>
  <c r="D395" i="2"/>
  <c r="F395" i="2" s="1"/>
  <c r="D498" i="2"/>
  <c r="D477" i="2"/>
  <c r="D456" i="2"/>
  <c r="D437" i="2"/>
  <c r="F437" i="2" s="1"/>
  <c r="D416" i="2"/>
  <c r="F416" i="2" s="1"/>
  <c r="F498" i="2"/>
  <c r="F477" i="2"/>
  <c r="F456" i="2"/>
  <c r="F493" i="2"/>
  <c r="F492" i="2"/>
  <c r="F488" i="2"/>
  <c r="F487" i="2"/>
  <c r="F485" i="2"/>
  <c r="F484" i="2"/>
  <c r="F483" i="2"/>
  <c r="F472" i="2"/>
  <c r="F471" i="2"/>
  <c r="F467" i="2"/>
  <c r="F466" i="2"/>
  <c r="F464" i="2"/>
  <c r="F463" i="2"/>
  <c r="F462" i="2"/>
  <c r="F451" i="2"/>
  <c r="F450" i="2"/>
  <c r="F448" i="2"/>
  <c r="F447" i="2"/>
  <c r="F446" i="2"/>
  <c r="B178" i="2"/>
  <c r="C262" i="2" l="1"/>
  <c r="E260" i="2" l="1"/>
  <c r="E261" i="2"/>
  <c r="C93" i="2"/>
  <c r="B204" i="2"/>
  <c r="B200" i="2"/>
  <c r="B196" i="2"/>
  <c r="C236" i="2"/>
  <c r="A24" i="3" s="1"/>
  <c r="D248" i="2"/>
  <c r="D247" i="2"/>
  <c r="C249" i="2"/>
  <c r="C256" i="2" s="1"/>
  <c r="C37" i="2"/>
  <c r="Q40" i="1" s="1"/>
  <c r="C13" i="2"/>
  <c r="A136" i="1"/>
  <c r="Q87" i="1" l="1"/>
  <c r="Q90" i="1"/>
  <c r="Q92" i="1"/>
  <c r="Q85" i="1"/>
  <c r="B170" i="2"/>
  <c r="A90" i="1" s="1"/>
  <c r="C44" i="2"/>
  <c r="C20" i="2"/>
  <c r="I67" i="1" s="1"/>
  <c r="G28" i="1"/>
  <c r="C244" i="2"/>
  <c r="B169" i="2"/>
  <c r="A85" i="1" s="1"/>
  <c r="Q46" i="1"/>
  <c r="F262" i="2"/>
  <c r="B203" i="2"/>
  <c r="B202" i="2"/>
  <c r="B201" i="2"/>
  <c r="B199" i="2"/>
  <c r="B198" i="2"/>
  <c r="B197" i="2"/>
  <c r="B195" i="2"/>
  <c r="B194" i="2"/>
  <c r="F386" i="2"/>
  <c r="F387" i="2"/>
  <c r="F390" i="2"/>
  <c r="F391" i="2"/>
  <c r="F392" i="2"/>
  <c r="F401" i="2"/>
  <c r="F402" i="2"/>
  <c r="F403" i="2"/>
  <c r="F406" i="2"/>
  <c r="F407" i="2"/>
  <c r="F408" i="2"/>
  <c r="F411" i="2"/>
  <c r="F412" i="2"/>
  <c r="F413" i="2"/>
  <c r="F422" i="2"/>
  <c r="F423" i="2"/>
  <c r="F424" i="2"/>
  <c r="F427" i="2"/>
  <c r="F428" i="2"/>
  <c r="F429" i="2"/>
  <c r="F432" i="2"/>
  <c r="F433" i="2"/>
  <c r="F434" i="2"/>
  <c r="F385" i="2"/>
  <c r="G40" i="1" l="1"/>
  <c r="I71" i="1"/>
  <c r="C56" i="2"/>
  <c r="I73" i="1" s="1"/>
  <c r="O152" i="1"/>
  <c r="C24" i="3" s="1"/>
  <c r="O165" i="1"/>
  <c r="C27" i="3" s="1"/>
  <c r="H260" i="2"/>
  <c r="H261" i="2"/>
  <c r="A143" i="1"/>
  <c r="G46" i="1" l="1"/>
  <c r="A21" i="3"/>
  <c r="A172" i="1"/>
  <c r="A174" i="1" s="1"/>
  <c r="E174" i="1"/>
  <c r="A178" i="1"/>
  <c r="Q152" i="1"/>
  <c r="B185" i="2"/>
  <c r="B186" i="2"/>
  <c r="Q165" i="1"/>
  <c r="I262" i="2"/>
  <c r="A182" i="1" s="1"/>
  <c r="C228" i="2"/>
  <c r="C227" i="2"/>
  <c r="E143" i="1" s="1"/>
  <c r="B212" i="2"/>
  <c r="E178" i="1" l="1"/>
  <c r="C213" i="2"/>
  <c r="K261" i="2"/>
  <c r="K260" i="2"/>
  <c r="C224" i="2" l="1"/>
  <c r="O121" i="1" s="1"/>
  <c r="Q121" i="1"/>
  <c r="L262" i="2"/>
  <c r="O184" i="1" l="1"/>
  <c r="C28" i="3" s="1"/>
  <c r="E182" i="1"/>
  <c r="A100" i="1"/>
  <c r="A95" i="1"/>
  <c r="Q97" i="1" s="1"/>
  <c r="A110" i="1"/>
  <c r="A105" i="1"/>
  <c r="Q107" i="1" l="1"/>
  <c r="Q105" i="1"/>
  <c r="Q112" i="1"/>
  <c r="Q110" i="1"/>
  <c r="Q100" i="1"/>
  <c r="Q102" i="1"/>
  <c r="Q95" i="1"/>
  <c r="C21" i="3"/>
  <c r="B184" i="2"/>
  <c r="I52" i="1" l="1"/>
  <c r="Q52" i="1" l="1"/>
  <c r="Q58" i="1" l="1"/>
  <c r="I58" i="1" l="1"/>
  <c r="M58" i="1"/>
  <c r="O58" i="1"/>
  <c r="Q77" i="1"/>
  <c r="O77" i="1"/>
  <c r="C10" i="3"/>
  <c r="M52" i="1"/>
  <c r="O52" i="1"/>
  <c r="Q75" i="1"/>
  <c r="O75" i="1"/>
  <c r="C9" i="3"/>
  <c r="I46" i="1"/>
  <c r="M46" i="1"/>
  <c r="B8" i="3"/>
  <c r="O46" i="1"/>
  <c r="O73" i="1"/>
  <c r="C8" i="3"/>
  <c r="B9" i="3"/>
  <c r="Q73" i="1"/>
  <c r="C187" i="2" l="1"/>
  <c r="H295" i="2" s="1"/>
  <c r="H315" i="2" l="1"/>
  <c r="H314" i="2"/>
  <c r="H313" i="2"/>
  <c r="H312" i="2"/>
  <c r="H311" i="2"/>
  <c r="H310" i="2"/>
  <c r="H297" i="2"/>
  <c r="H296" i="2"/>
  <c r="H300" i="2"/>
  <c r="H299" i="2"/>
  <c r="I314" i="2"/>
  <c r="I107" i="1" s="1"/>
  <c r="I315" i="2"/>
  <c r="I112" i="1" s="1"/>
  <c r="I313" i="2"/>
  <c r="I102" i="1" s="1"/>
  <c r="I311" i="2"/>
  <c r="I92" i="1" s="1"/>
  <c r="I312" i="2"/>
  <c r="I97" i="1" s="1"/>
  <c r="I310" i="2"/>
  <c r="I87" i="1" s="1"/>
  <c r="I299" i="2"/>
  <c r="I105" i="1" s="1"/>
  <c r="I300" i="2"/>
  <c r="I110" i="1" s="1"/>
  <c r="H298" i="2"/>
  <c r="I298" i="2" s="1"/>
  <c r="I100" i="1" s="1"/>
  <c r="I296" i="2"/>
  <c r="I90" i="1" s="1"/>
  <c r="I297" i="2"/>
  <c r="I95" i="1" s="1"/>
  <c r="H373" i="2"/>
  <c r="I373" i="2" s="1"/>
  <c r="H341" i="2"/>
  <c r="I341" i="2" s="1"/>
  <c r="H357" i="2"/>
  <c r="I357" i="2" s="1"/>
  <c r="H342" i="2"/>
  <c r="I342" i="2" s="1"/>
  <c r="H358" i="2"/>
  <c r="I358" i="2" s="1"/>
  <c r="H374" i="2"/>
  <c r="I374" i="2" s="1"/>
  <c r="I34" i="1" s="1"/>
  <c r="Q28" i="1" s="1"/>
  <c r="H343" i="2"/>
  <c r="I343" i="2" s="1"/>
  <c r="H359" i="2"/>
  <c r="I359" i="2" s="1"/>
  <c r="H375" i="2"/>
  <c r="I375" i="2" s="1"/>
  <c r="I40" i="1" s="1"/>
  <c r="H344" i="2"/>
  <c r="I344" i="2" s="1"/>
  <c r="H360" i="2"/>
  <c r="I360" i="2" s="1"/>
  <c r="H345" i="2"/>
  <c r="I345" i="2" s="1"/>
  <c r="H346" i="2"/>
  <c r="I346" i="2" s="1"/>
  <c r="H361" i="2"/>
  <c r="I361" i="2" s="1"/>
  <c r="H362" i="2"/>
  <c r="I362" i="2" s="1"/>
  <c r="H376" i="2"/>
  <c r="I376" i="2" s="1"/>
  <c r="H377" i="2"/>
  <c r="I377" i="2" s="1"/>
  <c r="H378" i="2"/>
  <c r="I378" i="2" s="1"/>
  <c r="I28" i="1" l="1"/>
  <c r="M92" i="1"/>
  <c r="M90" i="1" s="1"/>
  <c r="O92" i="1"/>
  <c r="M112" i="1"/>
  <c r="O112" i="1"/>
  <c r="M40" i="1"/>
  <c r="O40" i="1"/>
  <c r="M28" i="1"/>
  <c r="M34" i="1"/>
  <c r="Q34" i="1" s="1"/>
  <c r="O28" i="1"/>
  <c r="O90" i="1" l="1"/>
  <c r="M110" i="1"/>
  <c r="Q71" i="1"/>
  <c r="B7" i="3"/>
  <c r="O71" i="1"/>
  <c r="C7" i="3" s="1"/>
  <c r="Q67" i="1"/>
  <c r="O34" i="1"/>
  <c r="O69" i="1"/>
  <c r="B6" i="3"/>
  <c r="O67" i="1"/>
  <c r="C5" i="3" s="1"/>
  <c r="B5" i="3"/>
  <c r="M102" i="1" l="1"/>
  <c r="O110" i="1"/>
  <c r="C6" i="3"/>
  <c r="Q69" i="1"/>
  <c r="M100" i="1" l="1"/>
  <c r="O102" i="1"/>
  <c r="O100" i="1" l="1"/>
  <c r="M87" i="1"/>
  <c r="O87" i="1" l="1"/>
  <c r="I295" i="2" l="1"/>
  <c r="I85" i="1"/>
  <c r="M85" i="1"/>
  <c r="M107" i="1" l="1"/>
  <c r="O107" i="1" s="1"/>
  <c r="M105" i="1"/>
  <c r="O85" i="1"/>
  <c r="O105" i="1" l="1"/>
  <c r="M97" i="1"/>
  <c r="O97" i="1" l="1"/>
  <c r="M95" i="1"/>
  <c r="O95" i="1" l="1"/>
  <c r="O116" i="1" s="1"/>
  <c r="O188" i="1" s="1"/>
  <c r="M114" i="1"/>
  <c r="Q114" i="1" l="1"/>
  <c r="B16" i="3"/>
  <c r="B18" i="3"/>
  <c r="B17" i="3"/>
  <c r="B15" i="3"/>
  <c r="B14" i="3"/>
  <c r="B13" i="3"/>
  <c r="C18" i="3"/>
  <c r="C17" i="3"/>
  <c r="C16" i="3"/>
  <c r="C15" i="3"/>
  <c r="C14" i="3"/>
  <c r="C13" i="3"/>
  <c r="C3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RVO</author>
  </authors>
  <commentList>
    <comment ref="M114" authorId="0" shapeId="0" xr:uid="{107DA202-5AD8-496D-AFF7-164D7EE92795}">
      <text>
        <r>
          <rPr>
            <b/>
            <sz val="9"/>
            <color indexed="81"/>
            <rFont val="Tahoma"/>
            <family val="2"/>
          </rPr>
          <t>Toelichting:</t>
        </r>
        <r>
          <rPr>
            <sz val="9"/>
            <color indexed="81"/>
            <rFont val="Tahoma"/>
            <family val="2"/>
          </rPr>
          <t xml:space="preserve">
Het minimum subsidiabele oppervlak bedraagt 8 m².Bij een kleiner oppervlak komen isolerend glas, panelen en deuren niet in aanmerking voor subsidie. 
Bij overschrijding van het maximum van 45 m² aan glas, paneel en deuroppervlak wordt per maatregel het aantal m² afgetopt. Aan de techniek met het hoogste bedrag per m² worden eerst de subsidiable m² toegekend. Daarna aan de techniek met het op één na hoogste bedrag per m², etc. Tot het maximum van 45 m² is bereikt. De volgorde daarbij is:
Triple glas U ≤ 0,7 W/m²K
Isolerende deur Ud ≤ 1,0 W/m²K
Panelen in kozijn U ≤ 0,7 W/m²K
HR++ glas U ≤ 1,2 W/m²K
Isolerende deur Ud ≤  1,5 W/m²K
Panelen in kozijn U ≤ 1,2 W/m²K
</t>
        </r>
      </text>
    </comment>
  </commentList>
</comments>
</file>

<file path=xl/sharedStrings.xml><?xml version="1.0" encoding="utf-8"?>
<sst xmlns="http://schemas.openxmlformats.org/spreadsheetml/2006/main" count="951" uniqueCount="515">
  <si>
    <t xml:space="preserve">Warmtepomp </t>
  </si>
  <si>
    <t>Aansluiting op het warmtenet</t>
  </si>
  <si>
    <t>Isolatiemaatregelen en/of glas-, kozijnpanelen- of deurisolatie</t>
  </si>
  <si>
    <t>Keuzelijst isolatiemaatregelen</t>
  </si>
  <si>
    <t>Dakisolatie</t>
  </si>
  <si>
    <t>Gevelisolatie</t>
  </si>
  <si>
    <t>Spouwmuurisolatie</t>
  </si>
  <si>
    <t>Glasisolatie</t>
  </si>
  <si>
    <t>Vloerisolatie</t>
  </si>
  <si>
    <t>Zonneboiler</t>
  </si>
  <si>
    <t>Categorieën</t>
  </si>
  <si>
    <t>Bedrag</t>
  </si>
  <si>
    <t>Lucht-water &lt; 1 kW</t>
  </si>
  <si>
    <t>Grond-water &lt; 1 kW</t>
  </si>
  <si>
    <t>Grond-water ≥ 1 kW en &lt; 10 kW</t>
  </si>
  <si>
    <t>Water-water &lt; 1 kW</t>
  </si>
  <si>
    <t>Water-water ≥ 1 kW en &lt; 10 kW</t>
  </si>
  <si>
    <t>Zonneboilercombi</t>
  </si>
  <si>
    <r>
      <t xml:space="preserve">Zonneboiler </t>
    </r>
    <r>
      <rPr>
        <sz val="11"/>
        <color theme="1"/>
        <rFont val="Calibri"/>
        <family val="2"/>
      </rPr>
      <t>≤ 5 m</t>
    </r>
    <r>
      <rPr>
        <vertAlign val="superscript"/>
        <sz val="11"/>
        <color theme="1"/>
        <rFont val="Calibri"/>
        <family val="2"/>
      </rPr>
      <t>2</t>
    </r>
  </si>
  <si>
    <r>
      <t xml:space="preserve">Zonneboiler &gt; 5 en </t>
    </r>
    <r>
      <rPr>
        <sz val="11"/>
        <color theme="1"/>
        <rFont val="Calibri"/>
        <family val="2"/>
      </rPr>
      <t>≤ 10 m</t>
    </r>
    <r>
      <rPr>
        <vertAlign val="superscript"/>
        <sz val="11"/>
        <color theme="1"/>
        <rFont val="Calibri"/>
        <family val="2"/>
      </rPr>
      <t>2</t>
    </r>
  </si>
  <si>
    <r>
      <t xml:space="preserve">Zonneboilercombi </t>
    </r>
    <r>
      <rPr>
        <sz val="11"/>
        <color theme="1"/>
        <rFont val="Calibri"/>
        <family val="2"/>
      </rPr>
      <t>≤ 5 m</t>
    </r>
    <r>
      <rPr>
        <vertAlign val="superscript"/>
        <sz val="11"/>
        <color theme="1"/>
        <rFont val="Calibri"/>
        <family val="2"/>
      </rPr>
      <t>2</t>
    </r>
  </si>
  <si>
    <r>
      <t xml:space="preserve">Zonneboilercombi &gt; 5 en </t>
    </r>
    <r>
      <rPr>
        <sz val="11"/>
        <color theme="1"/>
        <rFont val="Calibri"/>
        <family val="2"/>
      </rPr>
      <t>≤ 10 m</t>
    </r>
    <r>
      <rPr>
        <vertAlign val="superscript"/>
        <sz val="11"/>
        <color theme="1"/>
        <rFont val="Calibri"/>
        <family val="2"/>
      </rPr>
      <t>2</t>
    </r>
  </si>
  <si>
    <t>Aansluiting op warmtenet</t>
  </si>
  <si>
    <t>boven 10 kW</t>
  </si>
  <si>
    <t>boven 1 kW</t>
  </si>
  <si>
    <r>
      <t>Minimum m</t>
    </r>
    <r>
      <rPr>
        <b/>
        <vertAlign val="superscript"/>
        <sz val="11"/>
        <color theme="1"/>
        <rFont val="Calibri"/>
        <family val="2"/>
        <scheme val="minor"/>
      </rPr>
      <t>2</t>
    </r>
    <r>
      <rPr>
        <b/>
        <sz val="11"/>
        <color theme="1"/>
        <rFont val="Calibri"/>
        <family val="2"/>
        <scheme val="minor"/>
      </rPr>
      <t xml:space="preserve">  (bij glas, deur, panelen per combi)</t>
    </r>
  </si>
  <si>
    <r>
      <t>Maximum m</t>
    </r>
    <r>
      <rPr>
        <b/>
        <vertAlign val="superscript"/>
        <sz val="11"/>
        <color theme="1"/>
        <rFont val="Calibri"/>
        <family val="2"/>
        <scheme val="minor"/>
      </rPr>
      <t>2</t>
    </r>
    <r>
      <rPr>
        <b/>
        <sz val="11"/>
        <color theme="1"/>
        <rFont val="Calibri"/>
        <family val="2"/>
        <scheme val="minor"/>
      </rPr>
      <t xml:space="preserve">  (bij glas, deur, panelen per combi)</t>
    </r>
  </si>
  <si>
    <t>Indicatief, werkelijk bijdrage volgens apparatenlijst</t>
  </si>
  <si>
    <t>Kozijnpanelen en isolerende deur alleen in combinatie met HR++ of triple glas</t>
  </si>
  <si>
    <t xml:space="preserve">Glas-, kozijnpanelen- of isolerende deur	</t>
  </si>
  <si>
    <t>Keuzelijst warmtepomp</t>
  </si>
  <si>
    <t>Geen warmtepomp</t>
  </si>
  <si>
    <t>Kies soort warmtepomp:</t>
  </si>
  <si>
    <t>Kies soort zonneboiler:</t>
  </si>
  <si>
    <t>Keuzelijst zonneboiler</t>
  </si>
  <si>
    <t>Geen zonneboiler</t>
  </si>
  <si>
    <t>Keuzelijst aansluiting op een warmtenet</t>
  </si>
  <si>
    <t>Hulpcel voor invoerbegrenzing invulveld warmtepompvermogen en berekening subsidiebedrag warmtepomp</t>
  </si>
  <si>
    <t>Kies dakisolatie:</t>
  </si>
  <si>
    <t>Kies gevelisolatie:</t>
  </si>
  <si>
    <t>Kies spouwmuurisolatie:</t>
  </si>
  <si>
    <t>Kies vloerisolatie:</t>
  </si>
  <si>
    <t>Geen dakisolatie</t>
  </si>
  <si>
    <t>Geen gevelisolatie</t>
  </si>
  <si>
    <t>Geen spouwmuurisolatie</t>
  </si>
  <si>
    <t>Geen vloerisolatie</t>
  </si>
  <si>
    <t>Geen glasisolatie</t>
  </si>
  <si>
    <t>Geen elektrische kookvoorziening</t>
  </si>
  <si>
    <t>Elektrische kookvoorziening</t>
  </si>
  <si>
    <t>Elektrische kookvoorziening alleen in combinatie met aansluiting op warmtenet</t>
  </si>
  <si>
    <t>Niet van toepassing</t>
  </si>
  <si>
    <r>
      <t>Subsidiebedrag elektrische kookvoorziening (</t>
    </r>
    <r>
      <rPr>
        <sz val="11"/>
        <rFont val="Calibri"/>
        <family val="2"/>
      </rPr>
      <t>€)</t>
    </r>
    <r>
      <rPr>
        <sz val="11"/>
        <rFont val="Calibri"/>
        <family val="2"/>
        <scheme val="minor"/>
      </rPr>
      <t>:</t>
    </r>
  </si>
  <si>
    <t>Keuzelijst energie-efficiency klasse</t>
  </si>
  <si>
    <t>Ondergrens</t>
  </si>
  <si>
    <t>Bovengrens</t>
  </si>
  <si>
    <t>Overzicht categorieën en kentallen</t>
  </si>
  <si>
    <t>Keuzelijsten en vervolglijsten</t>
  </si>
  <si>
    <t>Keuzelijst dakisolatie</t>
  </si>
  <si>
    <t>keuzelijst gevelisolatie</t>
  </si>
  <si>
    <t>keuzelijst spouwmuurisolatie</t>
  </si>
  <si>
    <t>Keuzelijst vloerisolatie</t>
  </si>
  <si>
    <t>Datum uitvoering isolatiemaatregel</t>
  </si>
  <si>
    <t>HR++ glas, U ≤ 1,2 W/m2K en/of Triple glas, U ≤ 0,7 W/m2K</t>
  </si>
  <si>
    <t>Tellertje aantal geselecteerde technieken t.b.v. verdubbeling tarief isolatiemaatregelen</t>
  </si>
  <si>
    <t>1. Heeft u al eerder ISDE-subsidie ontvangen?</t>
  </si>
  <si>
    <t>Heeft u al eerder ISDE-subsidie ontvangen?</t>
  </si>
  <si>
    <t>Keuzelijst vraag eerder ISDE-subsidie ontvangen</t>
  </si>
  <si>
    <t>Ja</t>
  </si>
  <si>
    <t>Nee</t>
  </si>
  <si>
    <t xml:space="preserve">Meer informatie over de onderstaande technieken vindt u op de ISDE-website: </t>
  </si>
  <si>
    <t>2. Wilt u isolatiemaatregelen laten uitvoeren?</t>
  </si>
  <si>
    <t xml:space="preserve">Let op: </t>
  </si>
  <si>
    <t>5. Wilt u een bestaande koopwoning laten aansluiten op een warmtenet?</t>
  </si>
  <si>
    <t>3. Wilt u een warmtepomp laten installeren?</t>
  </si>
  <si>
    <t>4. Wilt u een zonneboiler laten installeren?</t>
  </si>
  <si>
    <t>Wilt u glasisolatie laten plaatsen?</t>
  </si>
  <si>
    <t xml:space="preserve">Kiest u voor HR++ en/of Triple glasisolatie? Dan komen ook onderstaande types panelen en deuren in aanmerking. </t>
  </si>
  <si>
    <t>Heeft u voor de aansluiting warmtenet al  eerder  subsidie ontvangen van de Rijksoverheid?</t>
  </si>
  <si>
    <t xml:space="preserve"> </t>
  </si>
  <si>
    <t>Keuzelijsten elektrische kookvoorziening</t>
  </si>
  <si>
    <t xml:space="preserve"> Is uw woning aangesloten op een warmtenet?</t>
  </si>
  <si>
    <t>Is uw woning afgesloten van het aardgasnet en de elektrische kookvoorziening aangeschaft op of ná 1 april 2022?</t>
  </si>
  <si>
    <t>Heeft u uw woning op een warmtenet aangesloten?</t>
  </si>
  <si>
    <t xml:space="preserve">6. Wilt u een elektrische kookvoorziening aanschaffen? </t>
  </si>
  <si>
    <t>Wilt u een elektrische kookvoorziening aanschaffen?</t>
  </si>
  <si>
    <t>Antwoord biobased vragen</t>
  </si>
  <si>
    <t>WAAR = biobased dakisolatie</t>
  </si>
  <si>
    <t>WAAR = biobased gevelisolatie</t>
  </si>
  <si>
    <t>WAAR = biobased spouwisolatie</t>
  </si>
  <si>
    <t>WAAR = biobased vloerisolatie</t>
  </si>
  <si>
    <t>Vink aan welke maatregelen biobased zijn (indien van toepassing).</t>
  </si>
  <si>
    <t>Type isolatie</t>
  </si>
  <si>
    <t>Op of ná 1 januari 2024</t>
  </si>
  <si>
    <t>Warmtepomp 2024</t>
  </si>
  <si>
    <t>Vast bedrag 2024</t>
  </si>
  <si>
    <t>Verhoging door energieklasse 2024</t>
  </si>
  <si>
    <t>Totaal vast bedrag 2024</t>
  </si>
  <si>
    <t>Extra bedrag/kW 2024</t>
  </si>
  <si>
    <r>
      <t xml:space="preserve">Lucht-water </t>
    </r>
    <r>
      <rPr>
        <sz val="11"/>
        <color theme="1"/>
        <rFont val="Calibri"/>
        <family val="2"/>
      </rPr>
      <t>≥ 1 kW en ≤ 70 kW</t>
    </r>
  </si>
  <si>
    <r>
      <t xml:space="preserve">Lucht-water </t>
    </r>
    <r>
      <rPr>
        <sz val="11"/>
        <rFont val="Calibri"/>
        <family val="2"/>
      </rPr>
      <t>≥ 71 kW en ≤ 400 kW</t>
    </r>
  </si>
  <si>
    <r>
      <t xml:space="preserve">Water-water ≥ 71 kW en </t>
    </r>
    <r>
      <rPr>
        <sz val="11"/>
        <rFont val="Calibri"/>
        <family val="2"/>
      </rPr>
      <t>≤</t>
    </r>
    <r>
      <rPr>
        <sz val="11"/>
        <rFont val="Calibri"/>
        <family val="2"/>
        <scheme val="minor"/>
      </rPr>
      <t xml:space="preserve"> 400 kW</t>
    </r>
  </si>
  <si>
    <r>
      <t xml:space="preserve">Water-water ≥ 10 kW en </t>
    </r>
    <r>
      <rPr>
        <sz val="11"/>
        <color theme="1"/>
        <rFont val="Calibri"/>
        <family val="2"/>
      </rPr>
      <t>≤</t>
    </r>
    <r>
      <rPr>
        <sz val="11"/>
        <color theme="1"/>
        <rFont val="Calibri"/>
        <family val="2"/>
        <scheme val="minor"/>
      </rPr>
      <t xml:space="preserve"> 70 kW</t>
    </r>
  </si>
  <si>
    <r>
      <t xml:space="preserve">Grond-water ≥ 10 kW en </t>
    </r>
    <r>
      <rPr>
        <sz val="11"/>
        <color theme="1"/>
        <rFont val="Calibri"/>
        <family val="2"/>
      </rPr>
      <t>≤</t>
    </r>
    <r>
      <rPr>
        <sz val="11"/>
        <color theme="1"/>
        <rFont val="Calibri"/>
        <family val="2"/>
        <scheme val="minor"/>
      </rPr>
      <t xml:space="preserve"> 70 kW</t>
    </r>
  </si>
  <si>
    <r>
      <t xml:space="preserve">Grond-water ≥ 71 kW en </t>
    </r>
    <r>
      <rPr>
        <sz val="11"/>
        <rFont val="Calibri"/>
        <family val="2"/>
      </rPr>
      <t>≤</t>
    </r>
    <r>
      <rPr>
        <sz val="11"/>
        <rFont val="Calibri"/>
        <family val="2"/>
        <scheme val="minor"/>
      </rPr>
      <t xml:space="preserve"> 400 kW</t>
    </r>
  </si>
  <si>
    <t>boven 71 kW</t>
  </si>
  <si>
    <t>Energieklasse A+++ of hoger</t>
  </si>
  <si>
    <t>Energieklasse A++</t>
  </si>
  <si>
    <t>Energieklasse A+</t>
  </si>
  <si>
    <t>Keuzelijst datum installatie warmtepomp</t>
  </si>
  <si>
    <t>Vóór 1 januari 2024 en ≤  24 maanden geleden</t>
  </si>
  <si>
    <t>Samengestelde categorie-omschrijving t.b.v. zoeken in tabellen warmtepomp</t>
  </si>
  <si>
    <t>Geen aansluiting warmtenet</t>
  </si>
  <si>
    <t>Aansluiting op een warmtenet</t>
  </si>
  <si>
    <t>Geen aansluiting op een warmtenet</t>
  </si>
  <si>
    <t xml:space="preserve">Aansluiting op een warmtenet </t>
  </si>
  <si>
    <t>Aansluiting op een warmtenet Op of ná 1 januari 2024</t>
  </si>
  <si>
    <t>Keuzelijst datum aansluiting op een warmtenet</t>
  </si>
  <si>
    <t>Aansluiting op een warmtenet Vóór 1 januari 2024 en ≤  24 maanden geleden</t>
  </si>
  <si>
    <t>Keuzelijst datum installatie zonneboiler</t>
  </si>
  <si>
    <t>Samengestelde categorie-omschrijving t.b.v. zoeken in tabellen zonneboiler</t>
  </si>
  <si>
    <r>
      <t xml:space="preserve">Zonneboiler </t>
    </r>
    <r>
      <rPr>
        <sz val="11"/>
        <color theme="1"/>
        <rFont val="Calibri"/>
        <family val="2"/>
      </rPr>
      <t>≤ 5 m</t>
    </r>
    <r>
      <rPr>
        <vertAlign val="superscript"/>
        <sz val="11"/>
        <color theme="1"/>
        <rFont val="Calibri"/>
        <family val="2"/>
      </rPr>
      <t>2</t>
    </r>
    <r>
      <rPr>
        <sz val="11"/>
        <color theme="1"/>
        <rFont val="Calibri"/>
        <family val="2"/>
        <scheme val="minor"/>
      </rPr>
      <t xml:space="preserve"> Vóór 1 januari 2024 en ≤  24 maanden geleden</t>
    </r>
  </si>
  <si>
    <r>
      <t xml:space="preserve">Zonneboiler &gt; 5 en </t>
    </r>
    <r>
      <rPr>
        <sz val="11"/>
        <color theme="1"/>
        <rFont val="Calibri"/>
        <family val="2"/>
      </rPr>
      <t>≤ 10 m</t>
    </r>
    <r>
      <rPr>
        <vertAlign val="superscript"/>
        <sz val="11"/>
        <color theme="1"/>
        <rFont val="Calibri"/>
        <family val="2"/>
      </rPr>
      <t>2</t>
    </r>
    <r>
      <rPr>
        <sz val="11"/>
        <color theme="1"/>
        <rFont val="Calibri"/>
        <family val="2"/>
        <scheme val="minor"/>
      </rPr>
      <t xml:space="preserve"> Vóór 1 januari 2024 en ≤  24 maanden geleden</t>
    </r>
  </si>
  <si>
    <r>
      <t xml:space="preserve">Zonneboilercombi </t>
    </r>
    <r>
      <rPr>
        <sz val="11"/>
        <color theme="1"/>
        <rFont val="Calibri"/>
        <family val="2"/>
      </rPr>
      <t>≤ 5 m</t>
    </r>
    <r>
      <rPr>
        <vertAlign val="superscript"/>
        <sz val="11"/>
        <color theme="1"/>
        <rFont val="Calibri"/>
        <family val="2"/>
      </rPr>
      <t>2</t>
    </r>
    <r>
      <rPr>
        <sz val="11"/>
        <color theme="1"/>
        <rFont val="Calibri"/>
        <family val="2"/>
        <scheme val="minor"/>
      </rPr>
      <t xml:space="preserve"> Vóór 1 januari 2024 en ≤  24 maanden geleden</t>
    </r>
  </si>
  <si>
    <r>
      <t xml:space="preserve">Zonneboilercombi &gt; 5 en </t>
    </r>
    <r>
      <rPr>
        <sz val="11"/>
        <color theme="1"/>
        <rFont val="Calibri"/>
        <family val="2"/>
      </rPr>
      <t>≤ 10 m</t>
    </r>
    <r>
      <rPr>
        <vertAlign val="superscript"/>
        <sz val="11"/>
        <color theme="1"/>
        <rFont val="Calibri"/>
        <family val="2"/>
      </rPr>
      <t>2</t>
    </r>
    <r>
      <rPr>
        <sz val="11"/>
        <color theme="1"/>
        <rFont val="Calibri"/>
        <family val="2"/>
        <scheme val="minor"/>
      </rPr>
      <t xml:space="preserve"> Vóór 1 januari 2024 en ≤  24 maanden geleden</t>
    </r>
  </si>
  <si>
    <r>
      <t xml:space="preserve">Zonneboiler </t>
    </r>
    <r>
      <rPr>
        <sz val="11"/>
        <color theme="1"/>
        <rFont val="Calibri"/>
        <family val="2"/>
      </rPr>
      <t>≤ 5 m</t>
    </r>
    <r>
      <rPr>
        <vertAlign val="superscript"/>
        <sz val="11"/>
        <color theme="1"/>
        <rFont val="Calibri"/>
        <family val="2"/>
      </rPr>
      <t>2</t>
    </r>
    <r>
      <rPr>
        <sz val="11"/>
        <color theme="1"/>
        <rFont val="Calibri"/>
        <family val="2"/>
        <scheme val="minor"/>
      </rPr>
      <t xml:space="preserve"> Op of ná 1 januari 2024</t>
    </r>
  </si>
  <si>
    <r>
      <t xml:space="preserve">Zonneboiler &gt; 5 en </t>
    </r>
    <r>
      <rPr>
        <sz val="11"/>
        <color theme="1"/>
        <rFont val="Calibri"/>
        <family val="2"/>
      </rPr>
      <t>≤ 10 m</t>
    </r>
    <r>
      <rPr>
        <vertAlign val="superscript"/>
        <sz val="11"/>
        <color theme="1"/>
        <rFont val="Calibri"/>
        <family val="2"/>
      </rPr>
      <t>2</t>
    </r>
    <r>
      <rPr>
        <sz val="11"/>
        <color theme="1"/>
        <rFont val="Calibri"/>
        <family val="2"/>
        <scheme val="minor"/>
      </rPr>
      <t xml:space="preserve"> Op of ná 1 januari 2024</t>
    </r>
  </si>
  <si>
    <r>
      <t xml:space="preserve">Zonneboilercombi </t>
    </r>
    <r>
      <rPr>
        <sz val="11"/>
        <color theme="1"/>
        <rFont val="Calibri"/>
        <family val="2"/>
      </rPr>
      <t>≤ 5 m</t>
    </r>
    <r>
      <rPr>
        <vertAlign val="superscript"/>
        <sz val="11"/>
        <color theme="1"/>
        <rFont val="Calibri"/>
        <family val="2"/>
      </rPr>
      <t>2</t>
    </r>
    <r>
      <rPr>
        <sz val="11"/>
        <color theme="1"/>
        <rFont val="Calibri"/>
        <family val="2"/>
        <scheme val="minor"/>
      </rPr>
      <t xml:space="preserve"> Op of ná 1 januari 2024</t>
    </r>
  </si>
  <si>
    <r>
      <t xml:space="preserve">Zonneboilercombi &gt; 5 en </t>
    </r>
    <r>
      <rPr>
        <sz val="11"/>
        <color theme="1"/>
        <rFont val="Calibri"/>
        <family val="2"/>
      </rPr>
      <t>≤ 10 m</t>
    </r>
    <r>
      <rPr>
        <vertAlign val="superscript"/>
        <sz val="11"/>
        <color theme="1"/>
        <rFont val="Calibri"/>
        <family val="2"/>
      </rPr>
      <t>2</t>
    </r>
    <r>
      <rPr>
        <sz val="11"/>
        <color theme="1"/>
        <rFont val="Calibri"/>
        <family val="2"/>
        <scheme val="minor"/>
      </rPr>
      <t xml:space="preserve"> Op of ná 1 januari 2024</t>
    </r>
  </si>
  <si>
    <t xml:space="preserve">Energie-efficiency klasse voor dit type warmtepomp moet minimaal A++ zijn bij installatie vanaf 1 januari 2024.  </t>
  </si>
  <si>
    <r>
      <t xml:space="preserve">Biobased isolatiemaatregelen uitgevoerd vanaf </t>
    </r>
    <r>
      <rPr>
        <b/>
        <sz val="10"/>
        <color theme="1"/>
        <rFont val="Calibri"/>
        <family val="2"/>
        <scheme val="minor"/>
      </rPr>
      <t>1 januari 2024</t>
    </r>
    <r>
      <rPr>
        <sz val="10"/>
        <color theme="1"/>
        <rFont val="Calibri"/>
        <family val="2"/>
        <scheme val="minor"/>
      </rPr>
      <t xml:space="preserve"> komen in aanmerking voor een MKI-bonus.</t>
    </r>
  </si>
  <si>
    <r>
      <t>Subsidiabel oppervlak min. (m</t>
    </r>
    <r>
      <rPr>
        <vertAlign val="superscript"/>
        <sz val="10"/>
        <color theme="1"/>
        <rFont val="Calibri"/>
        <family val="2"/>
        <scheme val="minor"/>
      </rPr>
      <t>2</t>
    </r>
    <r>
      <rPr>
        <sz val="10"/>
        <color theme="1"/>
        <rFont val="Calibri"/>
        <family val="2"/>
        <scheme val="minor"/>
      </rPr>
      <t>) - max. (m</t>
    </r>
    <r>
      <rPr>
        <vertAlign val="superscript"/>
        <sz val="10"/>
        <color theme="1"/>
        <rFont val="Calibri"/>
        <family val="2"/>
        <scheme val="minor"/>
      </rPr>
      <t>2</t>
    </r>
    <r>
      <rPr>
        <sz val="10"/>
        <color theme="1"/>
        <rFont val="Calibri"/>
        <family val="2"/>
        <scheme val="minor"/>
      </rPr>
      <t>)</t>
    </r>
  </si>
  <si>
    <r>
      <t>Subsidiebedrag per m</t>
    </r>
    <r>
      <rPr>
        <vertAlign val="superscript"/>
        <sz val="10"/>
        <color theme="1"/>
        <rFont val="Calibri"/>
        <family val="2"/>
        <scheme val="minor"/>
      </rPr>
      <t>2</t>
    </r>
    <r>
      <rPr>
        <sz val="10"/>
        <color theme="1"/>
        <rFont val="Calibri"/>
        <family val="2"/>
        <scheme val="minor"/>
      </rPr>
      <t xml:space="preserve"> (€)</t>
    </r>
  </si>
  <si>
    <r>
      <t>Te isoleren oppervlak (m</t>
    </r>
    <r>
      <rPr>
        <vertAlign val="superscript"/>
        <sz val="10"/>
        <color theme="1"/>
        <rFont val="Calibri"/>
        <family val="2"/>
        <scheme val="minor"/>
      </rPr>
      <t>2</t>
    </r>
    <r>
      <rPr>
        <sz val="10"/>
        <color theme="1"/>
        <rFont val="Calibri"/>
        <family val="2"/>
        <scheme val="minor"/>
      </rPr>
      <t>)</t>
    </r>
  </si>
  <si>
    <r>
      <t>Subsidiabele m</t>
    </r>
    <r>
      <rPr>
        <vertAlign val="superscript"/>
        <sz val="10"/>
        <color theme="1"/>
        <rFont val="Calibri"/>
        <family val="2"/>
        <scheme val="minor"/>
      </rPr>
      <t>2</t>
    </r>
    <r>
      <rPr>
        <sz val="10"/>
        <color theme="1"/>
        <rFont val="Calibri"/>
        <family val="2"/>
        <scheme val="minor"/>
      </rPr>
      <t xml:space="preserve"> </t>
    </r>
  </si>
  <si>
    <r>
      <t>Subsidiebedrag maatregel (</t>
    </r>
    <r>
      <rPr>
        <sz val="10"/>
        <color theme="1"/>
        <rFont val="Calibri"/>
        <family val="2"/>
      </rPr>
      <t>€)</t>
    </r>
  </si>
  <si>
    <r>
      <t>MKI-bonus (</t>
    </r>
    <r>
      <rPr>
        <sz val="10"/>
        <color theme="1"/>
        <rFont val="Calibri"/>
        <family val="2"/>
      </rPr>
      <t>€)</t>
    </r>
  </si>
  <si>
    <r>
      <t>Gezamenlijk subsidiabel oppervlak glas+panelen+deuren 
min. (m</t>
    </r>
    <r>
      <rPr>
        <vertAlign val="superscript"/>
        <sz val="10"/>
        <color theme="1"/>
        <rFont val="Calibri"/>
        <family val="2"/>
        <scheme val="minor"/>
      </rPr>
      <t>2</t>
    </r>
    <r>
      <rPr>
        <sz val="10"/>
        <color theme="1"/>
        <rFont val="Calibri"/>
        <family val="2"/>
        <scheme val="minor"/>
      </rPr>
      <t>) - max. (m</t>
    </r>
    <r>
      <rPr>
        <vertAlign val="superscript"/>
        <sz val="10"/>
        <color theme="1"/>
        <rFont val="Calibri"/>
        <family val="2"/>
        <scheme val="minor"/>
      </rPr>
      <t>2</t>
    </r>
    <r>
      <rPr>
        <sz val="10"/>
        <color theme="1"/>
        <rFont val="Calibri"/>
        <family val="2"/>
        <scheme val="minor"/>
      </rPr>
      <t>)</t>
    </r>
  </si>
  <si>
    <r>
      <t>Subsidiabele m</t>
    </r>
    <r>
      <rPr>
        <vertAlign val="superscript"/>
        <sz val="10"/>
        <color theme="1"/>
        <rFont val="Calibri"/>
        <family val="2"/>
        <scheme val="minor"/>
      </rPr>
      <t>2</t>
    </r>
    <r>
      <rPr>
        <sz val="10"/>
        <color theme="1"/>
        <rFont val="Calibri"/>
        <family val="2"/>
        <scheme val="minor"/>
      </rPr>
      <t xml:space="preserve"> (rekening houdend met 45 m</t>
    </r>
    <r>
      <rPr>
        <vertAlign val="superscript"/>
        <sz val="10"/>
        <color theme="1"/>
        <rFont val="Calibri"/>
        <family val="2"/>
        <scheme val="minor"/>
      </rPr>
      <t xml:space="preserve">2 </t>
    </r>
    <r>
      <rPr>
        <sz val="10"/>
        <color theme="1"/>
        <rFont val="Calibri"/>
        <family val="2"/>
        <scheme val="minor"/>
      </rPr>
      <t>maximum)</t>
    </r>
  </si>
  <si>
    <r>
      <t>Totaal glas, deuren, panelen m</t>
    </r>
    <r>
      <rPr>
        <b/>
        <vertAlign val="superscript"/>
        <sz val="10"/>
        <color theme="1"/>
        <rFont val="Calibri"/>
        <family val="2"/>
        <scheme val="minor"/>
      </rPr>
      <t>2</t>
    </r>
    <r>
      <rPr>
        <b/>
        <sz val="10"/>
        <color theme="1"/>
        <rFont val="Calibri"/>
        <family val="2"/>
        <scheme val="minor"/>
      </rPr>
      <t>:</t>
    </r>
  </si>
  <si>
    <r>
      <t>Subsidiebedrag warmtepomp (</t>
    </r>
    <r>
      <rPr>
        <sz val="10"/>
        <rFont val="Calibri"/>
        <family val="2"/>
      </rPr>
      <t>€)</t>
    </r>
  </si>
  <si>
    <r>
      <t>Totale indicatieve subsidiebedrag (</t>
    </r>
    <r>
      <rPr>
        <b/>
        <sz val="13"/>
        <color theme="1"/>
        <rFont val="Calibri"/>
        <family val="2"/>
      </rPr>
      <t>€):</t>
    </r>
  </si>
  <si>
    <r>
      <t>Subsidiebedrag aansluiting op warmtenet (</t>
    </r>
    <r>
      <rPr>
        <sz val="10"/>
        <rFont val="Calibri"/>
        <family val="2"/>
      </rPr>
      <t>€)</t>
    </r>
    <r>
      <rPr>
        <sz val="10"/>
        <rFont val="Calibri"/>
        <family val="2"/>
        <scheme val="minor"/>
      </rPr>
      <t>:</t>
    </r>
  </si>
  <si>
    <r>
      <t>Subsidiebedrag zonneboiler (</t>
    </r>
    <r>
      <rPr>
        <sz val="10"/>
        <rFont val="Calibri"/>
        <family val="2"/>
      </rPr>
      <t>€)</t>
    </r>
    <r>
      <rPr>
        <sz val="10"/>
        <rFont val="Calibri"/>
        <family val="2"/>
        <scheme val="minor"/>
      </rPr>
      <t>:</t>
    </r>
  </si>
  <si>
    <r>
      <t xml:space="preserve">Bereken in zes stappen uw mogelijke subsidie (Let op! U kunt naast de keuzerondjes alleen de </t>
    </r>
    <r>
      <rPr>
        <b/>
        <sz val="11"/>
        <color rgb="FF0070C0"/>
        <rFont val="Sans"/>
      </rPr>
      <t>blauwe velden</t>
    </r>
    <r>
      <rPr>
        <b/>
        <sz val="11"/>
        <color rgb="FF000000"/>
        <rFont val="Sans"/>
      </rPr>
      <t xml:space="preserve"> invullen of aanpassen):</t>
    </r>
  </si>
  <si>
    <t>Af te drukken overzicht gekozen maatregelen en subsidiebedragen</t>
  </si>
  <si>
    <t>Subsidiabel oppervlak (m2)</t>
  </si>
  <si>
    <t>Binnen-of buitengevelisolatie (incl. MKI-bonus)</t>
  </si>
  <si>
    <t>Spouwmuurisolatie (incl. MKI-bonus)</t>
  </si>
  <si>
    <t>Isolatiemaatregelen</t>
  </si>
  <si>
    <t>HR++ glas</t>
  </si>
  <si>
    <t>Triple glas</t>
  </si>
  <si>
    <r>
      <t xml:space="preserve">Isolerende panelen in kozijnen, U </t>
    </r>
    <r>
      <rPr>
        <sz val="11"/>
        <color theme="1"/>
        <rFont val="Calibri"/>
        <family val="2"/>
      </rPr>
      <t>≤</t>
    </r>
    <r>
      <rPr>
        <sz val="11"/>
        <color theme="1"/>
        <rFont val="Calibri"/>
        <family val="2"/>
        <scheme val="minor"/>
      </rPr>
      <t xml:space="preserve"> 0,7 W/m2K</t>
    </r>
  </si>
  <si>
    <t>Warmtepomp</t>
  </si>
  <si>
    <t>Aansluiting op een warmtenet (inclusief kookvoorziening)</t>
  </si>
  <si>
    <t>Isolerende beglazing, panelen en deuren</t>
  </si>
  <si>
    <t>Totaal subsidiebedrag</t>
  </si>
  <si>
    <t>(indicatief)</t>
  </si>
  <si>
    <r>
      <t>Subsidiebedrag (</t>
    </r>
    <r>
      <rPr>
        <b/>
        <sz val="12"/>
        <color theme="1"/>
        <rFont val="Calibri"/>
        <family val="2"/>
      </rPr>
      <t>€)</t>
    </r>
  </si>
  <si>
    <r>
      <t xml:space="preserve">Vermogen (indien </t>
    </r>
    <r>
      <rPr>
        <b/>
        <sz val="12"/>
        <color theme="1"/>
        <rFont val="Calibri"/>
        <family val="2"/>
      </rPr>
      <t>≥ 10 kW)</t>
    </r>
  </si>
  <si>
    <t>Aansluiting op een warmtenet/kookvoorziening</t>
  </si>
  <si>
    <r>
      <t xml:space="preserve">Isolerende panelen in kozijnen, U </t>
    </r>
    <r>
      <rPr>
        <sz val="11"/>
        <color theme="1"/>
        <rFont val="Calibri"/>
        <family val="2"/>
      </rPr>
      <t>≤</t>
    </r>
    <r>
      <rPr>
        <sz val="11"/>
        <color theme="1"/>
        <rFont val="Calibri"/>
        <family val="2"/>
        <scheme val="minor"/>
      </rPr>
      <t xml:space="preserve"> 1,2 W/m2K</t>
    </r>
  </si>
  <si>
    <r>
      <t xml:space="preserve">Isolerende deur, U </t>
    </r>
    <r>
      <rPr>
        <sz val="11"/>
        <color theme="1"/>
        <rFont val="Calibri"/>
        <family val="2"/>
      </rPr>
      <t>≤</t>
    </r>
    <r>
      <rPr>
        <sz val="11"/>
        <color theme="1"/>
        <rFont val="Calibri"/>
        <family val="2"/>
        <scheme val="minor"/>
      </rPr>
      <t xml:space="preserve"> 1,5 W/m2K</t>
    </r>
  </si>
  <si>
    <r>
      <t xml:space="preserve">Isolerende deur, U </t>
    </r>
    <r>
      <rPr>
        <sz val="11"/>
        <color theme="1"/>
        <rFont val="Calibri"/>
        <family val="2"/>
      </rPr>
      <t>≤</t>
    </r>
    <r>
      <rPr>
        <sz val="11"/>
        <color theme="1"/>
        <rFont val="Calibri"/>
        <family val="2"/>
        <scheme val="minor"/>
      </rPr>
      <t xml:space="preserve"> 1,0 W/m2K</t>
    </r>
  </si>
  <si>
    <r>
      <t>Totaal glas, deuren en panelen (</t>
    </r>
    <r>
      <rPr>
        <b/>
        <sz val="10"/>
        <color theme="1"/>
        <rFont val="Calibri"/>
        <family val="2"/>
      </rPr>
      <t>€)</t>
    </r>
    <r>
      <rPr>
        <b/>
        <sz val="10"/>
        <color theme="1"/>
        <rFont val="Calibri"/>
        <family val="2"/>
        <scheme val="minor"/>
      </rPr>
      <t>:</t>
    </r>
  </si>
  <si>
    <r>
      <t xml:space="preserve">Deze rekentool is voor woningeigenaren (eigenaar-bewoners). Vul deze rekentool volledig in en krijg een goede indicatie van het te verwachten subsidiebedrag. Deze tool houdt rekening met het aantal maatregelen en wanneer die zijn uitgevoerd. 
Aan de berekening kunnen geen rechten worden ontleend.  
</t>
    </r>
    <r>
      <rPr>
        <i/>
        <sz val="11"/>
        <rFont val="Calibri"/>
        <family val="2"/>
        <scheme val="minor"/>
      </rPr>
      <t>* Voor monumenten is de "Rekentool ISDE voor woningeigenaren van monumenten" beschikbaar.</t>
    </r>
  </si>
  <si>
    <r>
      <t>MKI-bonus 
per m</t>
    </r>
    <r>
      <rPr>
        <vertAlign val="superscript"/>
        <sz val="10"/>
        <color theme="1"/>
        <rFont val="Calibri"/>
        <family val="2"/>
        <scheme val="minor"/>
      </rPr>
      <t>2</t>
    </r>
    <r>
      <rPr>
        <sz val="10"/>
        <color theme="1"/>
        <rFont val="Calibri"/>
        <family val="2"/>
        <scheme val="minor"/>
      </rPr>
      <t xml:space="preserve"> (€)</t>
    </r>
  </si>
  <si>
    <t>Rekentool ISDE voor woningeigenaren (met uitzondering van monumenten*)</t>
  </si>
  <si>
    <r>
      <t xml:space="preserve">Eerder ontvangen ISDE-subsidie voor maatregel </t>
    </r>
    <r>
      <rPr>
        <sz val="11"/>
        <rFont val="Calibri"/>
        <family val="2"/>
      </rPr>
      <t xml:space="preserve">≤ </t>
    </r>
    <r>
      <rPr>
        <sz val="11"/>
        <rFont val="Calibri"/>
        <family val="2"/>
        <scheme val="minor"/>
      </rPr>
      <t>24 maanden geleden uitgevoerd</t>
    </r>
  </si>
  <si>
    <t>Totaal aantal geselecteerde cateogorieën (&gt;1 = verdubbeling tarief)</t>
  </si>
  <si>
    <t>Warmtepomp 2023</t>
  </si>
  <si>
    <t>Samengestelde categorie-omschrijving 2023</t>
  </si>
  <si>
    <t>Vast bedrag 2023</t>
  </si>
  <si>
    <t>Verhoging door energie-efficiency klasse 2023</t>
  </si>
  <si>
    <t>Totaal vast bedrag 2023</t>
  </si>
  <si>
    <t>Extra bedrag/kW 2023</t>
  </si>
  <si>
    <t>Warmtepomp 2025</t>
  </si>
  <si>
    <t>Vast bedrag 2025</t>
  </si>
  <si>
    <t>Verhoging door energieklasse 2025</t>
  </si>
  <si>
    <t>Totaal vast bedrag 2025</t>
  </si>
  <si>
    <t>Extra bedrag/kW 2025</t>
  </si>
  <si>
    <t>Samengestelde categorie-omschrijving  2024</t>
  </si>
  <si>
    <t>Lucht-water &lt; 1 kW Energieklasse A+++ of hoger 2024</t>
  </si>
  <si>
    <t>Lucht-water &lt; 1 kW Energieklasse A++ 2024</t>
  </si>
  <si>
    <t>Lucht-water &lt; 1 kW Energieklasse A+ 2024</t>
  </si>
  <si>
    <t>Lucht-water &lt; 1 kW Energieklasse A t/m G 2024</t>
  </si>
  <si>
    <t>Lucht-water ≥ 1 kW en ≤ 70 kW Energieklasse A+++ of hoger 2024</t>
  </si>
  <si>
    <t>Lucht-water ≥ 1 kW en ≤ 70 kW Energieklasse A++ 2024</t>
  </si>
  <si>
    <t>Lucht-water ≥ 1 kW en ≤ 70 kW Energieklasse A+ 2024</t>
  </si>
  <si>
    <t>Lucht-water ≥ 1 kW en ≤ 70 kW Energieklasse A t/m G 2024</t>
  </si>
  <si>
    <t>Lucht-water ≥ 71 kW en ≤ 400 kW Niet van toepassing 2024</t>
  </si>
  <si>
    <t>Lucht-water ≥ 71 kW en ≤ 400 kW Energieklasse A+++ of hoger 2024</t>
  </si>
  <si>
    <t>Lucht-water ≥ 71 kW en ≤ 400 kW Energieklasse A++ 2024</t>
  </si>
  <si>
    <t>Lucht-water ≥ 71 kW en ≤ 400 kW Energieklasse A+ 2024</t>
  </si>
  <si>
    <t>Lucht-water ≥ 71 kW en ≤ 400 kW Energieklasse A t/m G 2024</t>
  </si>
  <si>
    <t>Grond-water &lt; 1 kW Energieklasse A+++ of hoger 2024</t>
  </si>
  <si>
    <t>Grond-water &lt; 1 kW Energieklasse A++ 2024</t>
  </si>
  <si>
    <t>Grond-water &lt; 1 kW Energieklasse A+ 2024</t>
  </si>
  <si>
    <t>Grond-water &lt; 1 kW Energieklasse A t/m G 2024</t>
  </si>
  <si>
    <t>Grond-water ≥ 1 kW en &lt; 10 kW Energieklasse A+++ of hoger 2024</t>
  </si>
  <si>
    <t>Grond-water ≥ 1 kW en &lt; 10 kW Energieklasse A++ 2024</t>
  </si>
  <si>
    <t>Grond-water ≥ 1 kW en &lt; 10 kW Energieklasse A+ 2024</t>
  </si>
  <si>
    <t>Grond-water ≥ 1 kW en &lt; 10 kW Energieklasse A t/m G 2024</t>
  </si>
  <si>
    <t>Grond-water ≥ 10 kW en ≤ 70 kW Energieklasse A+++ of hoger 2024</t>
  </si>
  <si>
    <t>Grond-water ≥ 10 kW en ≤ 70 kW Energieklasse A++ 2024</t>
  </si>
  <si>
    <t>Grond-water ≥ 10 kW en ≤ 70 kW Energieklasse A+ 2024</t>
  </si>
  <si>
    <t>Grond-water ≥ 10 kW en ≤ 70 kW Energieklasse A t/m G 2024</t>
  </si>
  <si>
    <t>Grond-water ≥ 71 kW en ≤ 400 kW Niet van toepassing 2024</t>
  </si>
  <si>
    <t>Grond-water ≥ 71 kW en ≤ 400 kW Energieklasse A+++ of hoger 2024</t>
  </si>
  <si>
    <t>Grond-water ≥ 71 kW en ≤ 400 kW Energieklasse A++ 2024</t>
  </si>
  <si>
    <t>Grond-water ≥ 71 kW en ≤ 400 kW Energieklasse A+ 2024</t>
  </si>
  <si>
    <t>Grond-water ≥ 71 kW en ≤ 400 kW Energieklasse A t/m G 2024</t>
  </si>
  <si>
    <t>Water-water &lt; 1 kW Energieklasse A+++ of hoger 2024</t>
  </si>
  <si>
    <t>Water-water &lt; 1 kW Energieklasse A++ 2024</t>
  </si>
  <si>
    <t>Water-water &lt; 1 kW Energieklasse A+ 2024</t>
  </si>
  <si>
    <t>Water-water &lt; 1 kW Energieklasse A t/m G 2024</t>
  </si>
  <si>
    <t>Water-water ≥ 1 kW en &lt; 10 kW Energieklasse A+++ of hoger 2024</t>
  </si>
  <si>
    <t>Water-water ≥ 1 kW en &lt; 10 kW Energieklasse A++ 2024</t>
  </si>
  <si>
    <t>Water-water ≥ 1 kW en &lt; 10 kW Energieklasse A+ 2024</t>
  </si>
  <si>
    <t>Water-water ≥ 1 kW en &lt; 10 kW Energieklasse A t/m G 2024</t>
  </si>
  <si>
    <t>Water-water ≥ 10 kW en ≤ 70 kW Energieklasse A+++ of hoger 2024</t>
  </si>
  <si>
    <t>Water-water ≥ 10 kW en ≤ 70 kW Energieklasse A++ 2024</t>
  </si>
  <si>
    <t>Water-water ≥ 10 kW en ≤ 70 kW Energieklasse A+ 2024</t>
  </si>
  <si>
    <t>Water-water ≥ 10 kW en ≤ 70 kW Energieklasse A t/m G 2024</t>
  </si>
  <si>
    <t>Water-water ≥ 71 kW en ≤ 400 kW Niet van toepassing 2024</t>
  </si>
  <si>
    <t>Water-water ≥ 71 kW en ≤ 400 kW Energieklasse A+++ of hoger 2024</t>
  </si>
  <si>
    <t>Water-water ≥ 71 kW en ≤ 400 kW Energieklasse A++ 2024</t>
  </si>
  <si>
    <t>Water-water ≥ 71 kW en ≤ 400 kW Energieklasse A+ 2024</t>
  </si>
  <si>
    <t>Water-water ≥ 71 kW en ≤ 400 kW Energieklasse A t/m G 2024</t>
  </si>
  <si>
    <t>Lucht-water &lt; 1 kW Energieklasse A+++ of hoger 2025</t>
  </si>
  <si>
    <t>Lucht-water &lt; 1 kW Energieklasse A++ 2025</t>
  </si>
  <si>
    <t>Lucht-water &lt; 1 kW Energieklasse A+ 2025</t>
  </si>
  <si>
    <t>Lucht-water &lt; 1 kW Energieklasse A t/m G 2025</t>
  </si>
  <si>
    <t>Lucht-water ≥ 71 kW en ≤ 400 kW Niet van toepassing 2025</t>
  </si>
  <si>
    <t>Lucht-water ≥ 71 kW en ≤ 400 kW Energieklasse A+++ of hoger 2025</t>
  </si>
  <si>
    <t>Lucht-water ≥ 71 kW en ≤ 400 kW Energieklasse A++ 2025</t>
  </si>
  <si>
    <t>Lucht-water ≥ 71 kW en ≤ 400 kW Energieklasse A+ 2025</t>
  </si>
  <si>
    <t>Lucht-water ≥ 71 kW en ≤ 400 kW Energieklasse A t/m G 2025</t>
  </si>
  <si>
    <t>Grond-water &lt; 1 kW Energieklasse A+++ of hoger 2025</t>
  </si>
  <si>
    <t>Grond-water &lt; 1 kW Energieklasse A++ 2025</t>
  </si>
  <si>
    <t>Grond-water &lt; 1 kW Energieklasse A+ 2025</t>
  </si>
  <si>
    <t>Grond-water &lt; 1 kW Energieklasse A t/m G 2025</t>
  </si>
  <si>
    <t>Grond-water ≥ 1 kW en &lt; 10 kW Energieklasse A+++ of hoger 2025</t>
  </si>
  <si>
    <t>Grond-water ≥ 1 kW en &lt; 10 kW Energieklasse A++ 2025</t>
  </si>
  <si>
    <t>Grond-water ≥ 1 kW en &lt; 10 kW Energieklasse A+ 2025</t>
  </si>
  <si>
    <t>Grond-water ≥ 1 kW en &lt; 10 kW Energieklasse A t/m G 2025</t>
  </si>
  <si>
    <t>Grond-water ≥ 10 kW en ≤ 70 kW Energieklasse A+++ of hoger 2025</t>
  </si>
  <si>
    <t>Grond-water ≥ 10 kW en ≤ 70 kW Energieklasse A++ 2025</t>
  </si>
  <si>
    <t>Grond-water ≥ 10 kW en ≤ 70 kW Energieklasse A+ 2025</t>
  </si>
  <si>
    <t>Grond-water ≥ 10 kW en ≤ 70 kW Energieklasse A t/m G 2025</t>
  </si>
  <si>
    <t>Grond-water ≥ 71 kW en ≤ 400 kW Niet van toepassing 2025</t>
  </si>
  <si>
    <t>Grond-water ≥ 71 kW en ≤ 400 kW Energieklasse A+++ of hoger 2025</t>
  </si>
  <si>
    <t>Grond-water ≥ 71 kW en ≤ 400 kW Energieklasse A++ 2025</t>
  </si>
  <si>
    <t>Grond-water ≥ 71 kW en ≤ 400 kW Energieklasse A+ 2025</t>
  </si>
  <si>
    <t>Grond-water ≥ 71 kW en ≤ 400 kW Energieklasse A t/m G 2025</t>
  </si>
  <si>
    <t>Water-water &lt; 1 kW Energieklasse A+++ of hoger 2025</t>
  </si>
  <si>
    <t>Water-water &lt; 1 kW Energieklasse A++ 2025</t>
  </si>
  <si>
    <t>Water-water &lt; 1 kW Energieklasse A+ 2025</t>
  </si>
  <si>
    <t>Water-water &lt; 1 kW Energieklasse A t/m G 2025</t>
  </si>
  <si>
    <t>Water-water ≥ 1 kW en &lt; 10 kW Energieklasse A+++ of hoger 2025</t>
  </si>
  <si>
    <t>Water-water ≥ 1 kW en &lt; 10 kW Energieklasse A++2025</t>
  </si>
  <si>
    <t>Water-water ≥ 1 kW en &lt; 10 kW Energieklasse A+2025</t>
  </si>
  <si>
    <t>Water-water ≥ 1 kW en &lt; 10 kW Energieklasse A t/m G 2025</t>
  </si>
  <si>
    <t>Water-water ≥ 10 kW en ≤ 70 kW Energieklasse A+++ of hoger 2025</t>
  </si>
  <si>
    <t>Water-water ≥ 10 kW en ≤ 70 kW Energieklasse A++ 2025</t>
  </si>
  <si>
    <t>Water-water ≥ 10 kW en ≤ 70 kW Energieklasse A+ 2025</t>
  </si>
  <si>
    <t>Water-water ≥ 10 kW en ≤ 70 kW Energieklasse A t/m G 2025</t>
  </si>
  <si>
    <t>Water-water ≥ 71 kW en ≤ 400 kW Niet van toepassing 2025</t>
  </si>
  <si>
    <t>Water-water ≥ 71 kW en ≤ 400 kW Energieklasse A+++ of hoger 2025</t>
  </si>
  <si>
    <t>Water-water ≥ 71 kW en ≤ 400 kW Energieklasse A++ 2025</t>
  </si>
  <si>
    <t>Water-water ≥ 71 kW en ≤ 400 kW Energieklasse A+ 2025</t>
  </si>
  <si>
    <t>Water-water ≥ 71 kW en ≤ 400 kW Energieklasse A t/m G 2025</t>
  </si>
  <si>
    <t>Lucht-water ≥ 1 kW en ≤ 70 kW Energieklasse A+++ of hoger 20252024</t>
  </si>
  <si>
    <t>Lucht-water ≥ 1 kW en ≤ 70 kW Energieklasse A++ 20252024</t>
  </si>
  <si>
    <t>Lucht-water ≥ 1 kW en ≤ 70 kW Energieklasse A+ 20252024</t>
  </si>
  <si>
    <t>Lucht-water ≥ 1 kW en ≤ 70 kW Energieklasse A t/m G 20252024</t>
  </si>
  <si>
    <t>Lucht-water ≥ 1 kW en ≤ 70 kW Energieklasse A+++ of hoger 20252025</t>
  </si>
  <si>
    <t>Lucht-water ≥ 1 kW en ≤ 70 kW Energieklasse A++ 20252025</t>
  </si>
  <si>
    <t>Lucht-water ≥ 1 kW en ≤ 70 kW Energieklasse A+ 20252025</t>
  </si>
  <si>
    <t>Lucht-water ≥ 1 kW en ≤ 70 kW Energieklasse A t/m G 20252025</t>
  </si>
  <si>
    <t xml:space="preserve"> (versie januari 2025) </t>
  </si>
  <si>
    <t>Isolerende maatregel 2023</t>
  </si>
  <si>
    <r>
      <t>Minimum m</t>
    </r>
    <r>
      <rPr>
        <vertAlign val="superscript"/>
        <sz val="11"/>
        <rFont val="Calibri"/>
        <family val="2"/>
        <scheme val="minor"/>
      </rPr>
      <t>2</t>
    </r>
  </si>
  <si>
    <t xml:space="preserve">MKI-bonus isolatiemateriaal </t>
  </si>
  <si>
    <t>Isolerende maatregel 2024</t>
  </si>
  <si>
    <r>
      <t>Maximum m</t>
    </r>
    <r>
      <rPr>
        <vertAlign val="superscript"/>
        <sz val="11"/>
        <color theme="1"/>
        <rFont val="Calibri"/>
        <family val="2"/>
        <scheme val="minor"/>
      </rPr>
      <t>2</t>
    </r>
  </si>
  <si>
    <t>Samengestelde categorie-omschrijving 2024</t>
  </si>
  <si>
    <t>Isolerende maatregel 2025</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</si>
  <si>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2024</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</si>
  <si>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2025</t>
    </r>
  </si>
  <si>
    <t>Samengestelde categorie-omschrijving 2025</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</si>
  <si>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2024</t>
    </r>
  </si>
  <si>
    <r>
      <t>Zolder-of vlieringisolatie, Rd ≥ 3,5 m</t>
    </r>
    <r>
      <rPr>
        <vertAlign val="superscript"/>
        <sz val="11"/>
        <color theme="1"/>
        <rFont val="Calibri"/>
        <family val="2"/>
        <scheme val="minor"/>
      </rPr>
      <t>2</t>
    </r>
    <r>
      <rPr>
        <sz val="11"/>
        <color theme="1"/>
        <rFont val="Calibri"/>
        <family val="2"/>
        <scheme val="minor"/>
      </rPr>
      <t xml:space="preserve"> K/W 2024</t>
    </r>
  </si>
  <si>
    <r>
      <t>Binnen-of buitengevelisolatie, Rd ≥ 3,5m</t>
    </r>
    <r>
      <rPr>
        <vertAlign val="superscript"/>
        <sz val="11"/>
        <color theme="1"/>
        <rFont val="Calibri"/>
        <family val="2"/>
        <scheme val="minor"/>
      </rPr>
      <t>2</t>
    </r>
    <r>
      <rPr>
        <sz val="11"/>
        <color theme="1"/>
        <rFont val="Calibri"/>
        <family val="2"/>
        <scheme val="minor"/>
      </rPr>
      <t xml:space="preserve"> K/W 2024</t>
    </r>
  </si>
  <si>
    <r>
      <t>Spouwmuurisolatie, Rd ≥ 1,1 m</t>
    </r>
    <r>
      <rPr>
        <vertAlign val="superscript"/>
        <sz val="11"/>
        <color theme="1"/>
        <rFont val="Calibri"/>
        <family val="2"/>
        <scheme val="minor"/>
      </rPr>
      <t>2</t>
    </r>
    <r>
      <rPr>
        <sz val="11"/>
        <color theme="1"/>
        <rFont val="Calibri"/>
        <family val="2"/>
        <scheme val="minor"/>
      </rPr>
      <t xml:space="preserve"> K/W 2024</t>
    </r>
  </si>
  <si>
    <r>
      <t>Vloerisolatie, Rd ≥ 3,5m</t>
    </r>
    <r>
      <rPr>
        <vertAlign val="superscript"/>
        <sz val="11"/>
        <color theme="1"/>
        <rFont val="Calibri"/>
        <family val="2"/>
        <scheme val="minor"/>
      </rPr>
      <t>2</t>
    </r>
    <r>
      <rPr>
        <sz val="11"/>
        <color theme="1"/>
        <rFont val="Calibri"/>
        <family val="2"/>
        <scheme val="minor"/>
      </rPr>
      <t xml:space="preserve"> K/W 2024</t>
    </r>
  </si>
  <si>
    <r>
      <t>Bodemisolatie, Rd ≥ 3,5m</t>
    </r>
    <r>
      <rPr>
        <vertAlign val="superscript"/>
        <sz val="11"/>
        <color theme="1"/>
        <rFont val="Calibri"/>
        <family val="2"/>
        <scheme val="minor"/>
      </rPr>
      <t>2</t>
    </r>
    <r>
      <rPr>
        <sz val="11"/>
        <color theme="1"/>
        <rFont val="Calibri"/>
        <family val="2"/>
        <scheme val="minor"/>
      </rPr>
      <t xml:space="preserve"> K/W 2024</t>
    </r>
  </si>
  <si>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2025</t>
    </r>
  </si>
  <si>
    <r>
      <t>Zolder-of vlieringisolatie, Rd ≥ 3,5 m</t>
    </r>
    <r>
      <rPr>
        <vertAlign val="superscript"/>
        <sz val="11"/>
        <color theme="1"/>
        <rFont val="Calibri"/>
        <family val="2"/>
        <scheme val="minor"/>
      </rPr>
      <t>2</t>
    </r>
    <r>
      <rPr>
        <sz val="11"/>
        <color theme="1"/>
        <rFont val="Calibri"/>
        <family val="2"/>
        <scheme val="minor"/>
      </rPr>
      <t xml:space="preserve"> K/W 2025</t>
    </r>
  </si>
  <si>
    <r>
      <t>Binnen-of buitengevelisolatie, Rd ≥ 3,5m</t>
    </r>
    <r>
      <rPr>
        <vertAlign val="superscript"/>
        <sz val="11"/>
        <color theme="1"/>
        <rFont val="Calibri"/>
        <family val="2"/>
        <scheme val="minor"/>
      </rPr>
      <t>2</t>
    </r>
    <r>
      <rPr>
        <sz val="11"/>
        <color theme="1"/>
        <rFont val="Calibri"/>
        <family val="2"/>
        <scheme val="minor"/>
      </rPr>
      <t xml:space="preserve"> K/W 2025</t>
    </r>
  </si>
  <si>
    <r>
      <t>Spouwmuurisolatie, Rd ≥ 1,1 m</t>
    </r>
    <r>
      <rPr>
        <vertAlign val="superscript"/>
        <sz val="11"/>
        <color theme="1"/>
        <rFont val="Calibri"/>
        <family val="2"/>
        <scheme val="minor"/>
      </rPr>
      <t>2</t>
    </r>
    <r>
      <rPr>
        <sz val="11"/>
        <color theme="1"/>
        <rFont val="Calibri"/>
        <family val="2"/>
        <scheme val="minor"/>
      </rPr>
      <t xml:space="preserve"> K/W 2025</t>
    </r>
  </si>
  <si>
    <r>
      <t>Vloerisolatie, Rd ≥ 3,5m</t>
    </r>
    <r>
      <rPr>
        <vertAlign val="superscript"/>
        <sz val="11"/>
        <color theme="1"/>
        <rFont val="Calibri"/>
        <family val="2"/>
        <scheme val="minor"/>
      </rPr>
      <t>2</t>
    </r>
    <r>
      <rPr>
        <sz val="11"/>
        <color theme="1"/>
        <rFont val="Calibri"/>
        <family val="2"/>
        <scheme val="minor"/>
      </rPr>
      <t xml:space="preserve"> K/W 2025</t>
    </r>
  </si>
  <si>
    <r>
      <t>Bodemisolatie, Rd ≥ 3,5m</t>
    </r>
    <r>
      <rPr>
        <vertAlign val="superscript"/>
        <sz val="11"/>
        <color theme="1"/>
        <rFont val="Calibri"/>
        <family val="2"/>
        <scheme val="minor"/>
      </rPr>
      <t>2</t>
    </r>
    <r>
      <rPr>
        <sz val="11"/>
        <color theme="1"/>
        <rFont val="Calibri"/>
        <family val="2"/>
        <scheme val="minor"/>
      </rPr>
      <t xml:space="preserve"> K/W 2025</t>
    </r>
  </si>
  <si>
    <t>Geen zolder- of vlieringisolatie</t>
  </si>
  <si>
    <t>Kies zolder- of vlieringisolatie:</t>
  </si>
  <si>
    <t>Keuzelijst datum uitvoering dakisolatie</t>
  </si>
  <si>
    <r>
      <t xml:space="preserve">Vraag aanschafdatum (alleen bij lucht-waterwarmtepomp  </t>
    </r>
    <r>
      <rPr>
        <b/>
        <sz val="11"/>
        <rFont val="Aptos Narrow"/>
        <family val="2"/>
      </rPr>
      <t>≥</t>
    </r>
    <r>
      <rPr>
        <b/>
        <sz val="11"/>
        <rFont val="Calibri"/>
        <family val="2"/>
      </rPr>
      <t xml:space="preserve"> 1kW en </t>
    </r>
    <r>
      <rPr>
        <b/>
        <sz val="11"/>
        <rFont val="Aptos Narrow"/>
        <family val="2"/>
      </rPr>
      <t>≤</t>
    </r>
    <r>
      <rPr>
        <b/>
        <sz val="11"/>
        <rFont val="Calibri"/>
        <family val="2"/>
      </rPr>
      <t xml:space="preserve"> 70 kW)</t>
    </r>
  </si>
  <si>
    <t>Keuzelijst zolder- of vlieringisolatie</t>
  </si>
  <si>
    <t>Keuzelijst datum uitvoering zolder- of vlieringisolatie</t>
  </si>
  <si>
    <t>2023 én ≤ 24 maanden geleden</t>
  </si>
  <si>
    <t>2023 en ≤  24 maanden geleden</t>
  </si>
  <si>
    <t>Lucht-water &lt; 1 kW Energieklasse A+++ of hoger 2023 en ≤  24 maanden geleden</t>
  </si>
  <si>
    <t>Lucht-water &lt; 1 kW Energieklasse A++ 2023 en ≤  24 maanden geleden</t>
  </si>
  <si>
    <t>Lucht-water &lt; 1 kW Energieklasse A+ 2023 en ≤  24 maanden geleden</t>
  </si>
  <si>
    <t>Lucht-water &lt; 1 kW Energieklasse A t/m G 2023 en ≤  24 maanden geleden</t>
  </si>
  <si>
    <t>Lucht-water ≥ 1 kW en ≤ 70 kW Energieklasse A+++ of hoger 2023 en ≤  24 maanden geleden</t>
  </si>
  <si>
    <t>Lucht-water ≥ 1 kW en ≤ 70 kW Energieklasse A++ 2023 en ≤  24 maanden geleden</t>
  </si>
  <si>
    <t>Lucht-water ≥ 1 kW en ≤ 70 kW Energieklasse A+ 2023 en ≤  24 maanden geleden</t>
  </si>
  <si>
    <t>Lucht-water ≥ 1 kW en ≤ 70 kW Energieklasse A t/m G 2023 en ≤  24 maanden geleden</t>
  </si>
  <si>
    <t>Lucht-water ≥ 71 kW en ≤ 400 kW Niet van toepassing 2023 en ≤  24 maanden geleden</t>
  </si>
  <si>
    <t>Lucht-water ≥ 71 kW en ≤ 400 kW Energieklasse A+++ of hoger 2023 en ≤  24 maanden geleden</t>
  </si>
  <si>
    <t>Lucht-water ≥ 71 kW en ≤ 400 kW Energieklasse A++ 2023 en ≤  24 maanden geleden</t>
  </si>
  <si>
    <t>Lucht-water ≥ 71 kW en ≤ 400 kW Energieklasse A+ 2023 en ≤  24 maanden geleden</t>
  </si>
  <si>
    <t>Lucht-water ≥ 71 kW en ≤ 400 kW Energieklasse A t/m G 2023 en ≤  24 maanden geleden</t>
  </si>
  <si>
    <t>Grond-water &lt; 1 kW Energieklasse A+++ of hoger 2023 en ≤  24 maanden geleden</t>
  </si>
  <si>
    <t>Grond-water &lt; 1 kW Energieklasse A++ 2023 en ≤  24 maanden geleden</t>
  </si>
  <si>
    <t>Grond-water &lt; 1 kW Energieklasse A+ 2023 en ≤  24 maanden geleden</t>
  </si>
  <si>
    <t>Grond-water &lt; 1 kW Energieklasse A t/m G 2023 en ≤  24 maanden geleden</t>
  </si>
  <si>
    <t>Grond-water ≥ 1 kW en &lt; 10 kW Energieklasse A+++ of hoger 2023 en ≤  24 maanden geleden</t>
  </si>
  <si>
    <t>Grond-water ≥ 1 kW en &lt; 10 kW Energieklasse A++ 2023 en ≤  24 maanden geleden</t>
  </si>
  <si>
    <t>Grond-water ≥ 1 kW en &lt; 10 kW Energieklasse A+ 2023 en ≤  24 maanden geleden</t>
  </si>
  <si>
    <t>Grond-water ≥ 1 kW en &lt; 10 kW Energieklasse A t/m G 2023 en ≤  24 maanden geleden</t>
  </si>
  <si>
    <t>Grond-water ≥ 10 kW en ≤ 70 kW Energieklasse A+++ of hoger 2023 en ≤  24 maanden geleden</t>
  </si>
  <si>
    <t>Grond-water ≥ 10 kW en ≤ 70 kW Energieklasse A++ 2023 en ≤  24 maanden geleden</t>
  </si>
  <si>
    <t>Grond-water ≥ 10 kW en ≤ 70 kW Energieklasse A+ 2023 en ≤  24 maanden geleden</t>
  </si>
  <si>
    <t>Grond-water ≥ 10 kW en ≤ 70 kW Energieklasse A t/m G 2023 en ≤  24 maanden geleden</t>
  </si>
  <si>
    <t>Grond-water ≥ 71 kW en ≤ 400 kW Niet van toepassing 2023 en ≤  24 maanden geleden</t>
  </si>
  <si>
    <t>Grond-water ≥ 71 kW en ≤ 400 kW Energieklasse A+++ of hoger 2023 en ≤  24 maanden geleden</t>
  </si>
  <si>
    <t>Grond-water ≥ 71 kW en ≤ 400 kW Energieklasse A++ 2023 en ≤  24 maanden geleden</t>
  </si>
  <si>
    <t>Grond-water ≥ 71 kW en ≤ 400 kW Energieklasse A+ 2023 en ≤  24 maanden geleden</t>
  </si>
  <si>
    <t>Grond-water ≥ 71 kW en ≤ 400 kW Energieklasse A t/m G 2023 en ≤  24 maanden geleden</t>
  </si>
  <si>
    <t>Water-water &lt; 1 kW Energieklasse A+++ of hoger 2023 en ≤  24 maanden geleden</t>
  </si>
  <si>
    <t>Water-water &lt; 1 kW Energieklasse A++2023 en ≤  24 maanden geleden</t>
  </si>
  <si>
    <t>Water-water &lt; 1 kW Energieklasse A+ 2023 en ≤  24 maanden geleden</t>
  </si>
  <si>
    <t>Water-water &lt; 1 kW Energieklasse A t/m G 2023 en ≤  24 maanden geleden</t>
  </si>
  <si>
    <t>Water-water ≥ 1 kW en &lt; 10 kW Energieklasse A+++ of hoger 2023 en ≤  24 maanden geleden</t>
  </si>
  <si>
    <t>Water-water ≥ 1 kW en &lt; 10 kW Energieklasse A++ 2023 en ≤  24 maanden geleden</t>
  </si>
  <si>
    <t>Water-water ≥ 1 kW en &lt; 10 kW Energieklasse A+ 2023 en ≤  24 maanden geleden</t>
  </si>
  <si>
    <t>Water-water ≥ 1 kW en &lt; 10 kW Energieklasse A t/m G 2023 en ≤  24 maanden geleden</t>
  </si>
  <si>
    <t>Water-water ≥ 10 kW en ≤ 70 kW Energieklasse A+++ of hoger 2023 en ≤  24 maanden geleden</t>
  </si>
  <si>
    <t>Water-water ≥ 10 kW en ≤ 70 kW Energieklasse A++ 2023 en ≤  24 maanden geleden</t>
  </si>
  <si>
    <t>Water-water ≥ 10 kW en ≤ 70 kW Energieklasse A+ 2023 en ≤  24 maanden geleden</t>
  </si>
  <si>
    <t>Water-water ≥ 10 kW en ≤ 70 kW Energieklasse A t/m G 2023 en ≤  24 maanden geleden</t>
  </si>
  <si>
    <t>Water-water ≥ 71 kW en ≤ 400 kW Niet van toepassing 2023 en ≤  24 maanden geleden</t>
  </si>
  <si>
    <t>Water-water ≥ 71 kW en ≤ 400 kW Energieklasse A+++ of hoger 2023 en ≤  24 maanden geleden</t>
  </si>
  <si>
    <t>Water-water ≥ 71 kW en ≤ 400 kW Energieklasse A++ 2023 en ≤  24 maanden geleden</t>
  </si>
  <si>
    <t>Water-water ≥ 71 kW en ≤ 400 kW Energieklasse A+ 2023 en ≤  24 maanden geleden</t>
  </si>
  <si>
    <t>Water-water ≥ 71 kW en ≤ 400 kW Energieklasse A t/m G 2023 en ≤  24 maanden geleden</t>
  </si>
  <si>
    <t>Warmtepomp 2025 met tarief 2024</t>
  </si>
  <si>
    <t>Samengestelde categorie-omschrijving  2025 (aanschaf 2024 WP lucht-water 1-70 kW, vermogen &lt; 13 kW)</t>
  </si>
  <si>
    <r>
      <t xml:space="preserve">Samengestelde categorie-omschr.  2025 (lucht-water 1-70 kW, aanschaf 2024 verm. </t>
    </r>
    <r>
      <rPr>
        <b/>
        <sz val="11"/>
        <color theme="1"/>
        <rFont val="Aptos Narrow"/>
        <family val="2"/>
      </rPr>
      <t>≥</t>
    </r>
    <r>
      <rPr>
        <b/>
        <sz val="8.25"/>
        <color theme="1"/>
        <rFont val="Calibri"/>
        <family val="2"/>
      </rPr>
      <t xml:space="preserve"> 13 kW of aanschaf 2025</t>
    </r>
    <r>
      <rPr>
        <b/>
        <sz val="11"/>
        <color theme="1"/>
        <rFont val="Calibri"/>
        <family val="2"/>
        <scheme val="minor"/>
      </rPr>
      <t>)</t>
    </r>
  </si>
  <si>
    <t>Samengestelde categorie-omschrijving t.b.v. zoeken in tabellen dakisolatie</t>
  </si>
  <si>
    <t>Samengestelde categorie-omschrijving t.b.v. zoeken in tabellen zolder-of vlieringisolatie</t>
  </si>
  <si>
    <t>Keuzelijst datum uitvoering gevelisolatie</t>
  </si>
  <si>
    <t>Samengestelde categorie-omschrijving t.b.v. zoeken in tabellen gevelisolatie</t>
  </si>
  <si>
    <t>Keuzelijst datum uitvoering spouwmuurisolatie</t>
  </si>
  <si>
    <t>Samengestelde categorie-omschrijving t.b.v. zoeken in tabellen spouwmuurisolatie</t>
  </si>
  <si>
    <t>Keuzelijst bodemisolatie</t>
  </si>
  <si>
    <t>Geen bodemisolatie</t>
  </si>
  <si>
    <t xml:space="preserve">Dakisolatie en zolder/vlieringisolatie vormen samen één maatregel en kunnen alleen gecombineerd worden als ze niet boven elkaar in dezelfde ruimte worden aangebracht. </t>
  </si>
  <si>
    <t xml:space="preserve">Vloerisolatie en bodemisolatie vormen samen één maatregel en kunnen alleen gecombineerd worden als ze niet boven elkaar in dezelfde ruimte worden aangebracht. </t>
  </si>
  <si>
    <t>Multiplier (2= verdubbeling)</t>
  </si>
  <si>
    <t>Bedrag €/m2 isolatie maatregel</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</si>
  <si>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2023 én ≤ 24 maanden geleden</t>
    </r>
  </si>
  <si>
    <t>Samengestelde categorie-omschrijving</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</si>
  <si>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Niet van toepassing</t>
    </r>
  </si>
  <si>
    <r>
      <t>Zolder-of vlieringisolatie, Rd ≥ 3,5 m</t>
    </r>
    <r>
      <rPr>
        <vertAlign val="superscript"/>
        <sz val="11"/>
        <color theme="1"/>
        <rFont val="Calibri"/>
        <family val="2"/>
        <scheme val="minor"/>
      </rPr>
      <t>2</t>
    </r>
    <r>
      <rPr>
        <sz val="11"/>
        <color theme="1"/>
        <rFont val="Calibri"/>
        <family val="2"/>
        <scheme val="minor"/>
      </rPr>
      <t xml:space="preserve"> K/W Niet van toepassing</t>
    </r>
  </si>
  <si>
    <r>
      <t>Binnen-of buitengevelisolatie, Rd ≥ 3,5m</t>
    </r>
    <r>
      <rPr>
        <vertAlign val="superscript"/>
        <sz val="11"/>
        <color theme="1"/>
        <rFont val="Calibri"/>
        <family val="2"/>
        <scheme val="minor"/>
      </rPr>
      <t>2</t>
    </r>
    <r>
      <rPr>
        <sz val="11"/>
        <color theme="1"/>
        <rFont val="Calibri"/>
        <family val="2"/>
        <scheme val="minor"/>
      </rPr>
      <t xml:space="preserve"> K/W Niet van toepassing</t>
    </r>
  </si>
  <si>
    <r>
      <t>Spouwmuurisolatie, Rd ≥ 1,1 m</t>
    </r>
    <r>
      <rPr>
        <vertAlign val="superscript"/>
        <sz val="11"/>
        <color theme="1"/>
        <rFont val="Calibri"/>
        <family val="2"/>
        <scheme val="minor"/>
      </rPr>
      <t>2</t>
    </r>
    <r>
      <rPr>
        <sz val="11"/>
        <color theme="1"/>
        <rFont val="Calibri"/>
        <family val="2"/>
        <scheme val="minor"/>
      </rPr>
      <t xml:space="preserve"> K/W Niet van toepassing</t>
    </r>
  </si>
  <si>
    <r>
      <t>Vloerisolatie, Rd ≥ 3,5m</t>
    </r>
    <r>
      <rPr>
        <vertAlign val="superscript"/>
        <sz val="11"/>
        <color theme="1"/>
        <rFont val="Calibri"/>
        <family val="2"/>
        <scheme val="minor"/>
      </rPr>
      <t>2</t>
    </r>
    <r>
      <rPr>
        <sz val="11"/>
        <color theme="1"/>
        <rFont val="Calibri"/>
        <family val="2"/>
        <scheme val="minor"/>
      </rPr>
      <t xml:space="preserve"> K/W Niet van toepassing</t>
    </r>
  </si>
  <si>
    <r>
      <t>Bodemisolatie, Rd ≥ 3,5m</t>
    </r>
    <r>
      <rPr>
        <vertAlign val="superscript"/>
        <sz val="11"/>
        <color theme="1"/>
        <rFont val="Calibri"/>
        <family val="2"/>
        <scheme val="minor"/>
      </rPr>
      <t>2</t>
    </r>
    <r>
      <rPr>
        <sz val="11"/>
        <color theme="1"/>
        <rFont val="Calibri"/>
        <family val="2"/>
        <scheme val="minor"/>
      </rPr>
      <t xml:space="preserve"> K/W Niet van toepassing</t>
    </r>
  </si>
  <si>
    <t>Geen dakisolatie 2024</t>
  </si>
  <si>
    <t>Geen zolder- of vlieringisolatie 2024</t>
  </si>
  <si>
    <t>Geen gevelisolatie 2024</t>
  </si>
  <si>
    <t>Geen spouwmuurisolatie 2024</t>
  </si>
  <si>
    <t>Geen vloerisolatie 2024</t>
  </si>
  <si>
    <t>Geen bodemisolatie 2024</t>
  </si>
  <si>
    <t>Geen bodemisolatie Niet van toepassing</t>
  </si>
  <si>
    <t>Geen dakisolatie 2023 én ≤ 24 maanden geleden</t>
  </si>
  <si>
    <t>Geen zolder- of vlieringisolatie 2023 én ≤ 24 maanden geleden</t>
  </si>
  <si>
    <t>Geen gevelisolatie 2023 én ≤ 24 maanden geleden</t>
  </si>
  <si>
    <t>Geen spouwmuurisolatie 2023 én ≤ 24 maanden geleden</t>
  </si>
  <si>
    <t>Geen vloerisolatie 2023 én ≤ 24 maanden geleden</t>
  </si>
  <si>
    <t>Geen bodemisolatie 2023 én ≤ 24 maanden geleden</t>
  </si>
  <si>
    <t>Geen dakisolatie 2025</t>
  </si>
  <si>
    <t>Geen zolder- of vlieringisolatie 2025</t>
  </si>
  <si>
    <t>Geen gevelisolatie 2025</t>
  </si>
  <si>
    <t>Geen spouwmuurisolatie 2025</t>
  </si>
  <si>
    <t>Geen vloerisolatie 2025</t>
  </si>
  <si>
    <t>Geen bodemisolatie 2025</t>
  </si>
  <si>
    <t>Geen dakisolatie Niet van toepassing</t>
  </si>
  <si>
    <t>Geen zolder- of vlieringisolatie Niet van toepassing</t>
  </si>
  <si>
    <t>Geen gevelisolatie Niet van toepassing</t>
  </si>
  <si>
    <t>Geen spouwmuurisolatie Niet van toepassing</t>
  </si>
  <si>
    <t>Geen vloerisolatie Niet van toepassing</t>
  </si>
  <si>
    <r>
      <t xml:space="preserve">Bedrag </t>
    </r>
    <r>
      <rPr>
        <sz val="11"/>
        <color theme="1"/>
        <rFont val="Calibri"/>
        <family val="2"/>
      </rPr>
      <t>€/m</t>
    </r>
    <r>
      <rPr>
        <vertAlign val="superscript"/>
        <sz val="11"/>
        <color theme="1"/>
        <rFont val="Calibri"/>
        <family val="2"/>
      </rPr>
      <t>2</t>
    </r>
    <r>
      <rPr>
        <sz val="11"/>
        <color theme="1"/>
        <rFont val="Calibri"/>
        <family val="2"/>
        <scheme val="minor"/>
      </rPr>
      <t xml:space="preserve"> isolatie bij één maatregel 2023</t>
    </r>
  </si>
  <si>
    <t>Dakisolatie, Rd ≥ 3,5 m2 K/W</t>
  </si>
  <si>
    <t>Zolder-of vlieringisolatie, Rd ≥ 3,5 m2 K/W</t>
  </si>
  <si>
    <t>Binnen-of buitengevelisolatie, Rd ≥ 3,5m2 K/W</t>
  </si>
  <si>
    <t>Spouwmuurisolatie, Rd ≥ 1,1 m2 K/W</t>
  </si>
  <si>
    <t>Vloerisolatie, Rd ≥ 3,5m2 K/W</t>
  </si>
  <si>
    <t>Bodemisolatie, Rd ≥ 3,5m2 K/W</t>
  </si>
  <si>
    <t>Isolerende maatregel beginschermen uitvoeringsjaar niet van toepassing</t>
  </si>
  <si>
    <t>Zolder-of vlieringisolatie, Rd ≥ 3,5 m2 K/W 2023 én ≤ 24 maanden geleden</t>
  </si>
  <si>
    <t>Binnen-of buitengevelisolatie, Rd ≥ 3,5m2 K/W 2023 én ≤ 24 maanden geleden</t>
  </si>
  <si>
    <t>Samengestelde categorie-omschrijving t.b.v. zoeken in tabellen bodemisolatie</t>
  </si>
  <si>
    <t>Zolder-of vlieringisolatie (incl. MKI-bonus)</t>
  </si>
  <si>
    <t>Dakisolatie (incl. MKI-bonus)</t>
  </si>
  <si>
    <t>Vloerisolatie (inc. MKI-bonus)</t>
  </si>
  <si>
    <t>Bodemisolatie (inc. MKI-bonus)</t>
  </si>
  <si>
    <r>
      <t>Spouwmuurisolatie, Rd ≥ 1,1 m</t>
    </r>
    <r>
      <rPr>
        <vertAlign val="superscript"/>
        <sz val="11"/>
        <color theme="1"/>
        <rFont val="Calibri"/>
        <family val="2"/>
        <scheme val="minor"/>
      </rPr>
      <t>2</t>
    </r>
    <r>
      <rPr>
        <sz val="11"/>
        <color theme="1"/>
        <rFont val="Calibri"/>
        <family val="2"/>
        <scheme val="minor"/>
      </rPr>
      <t xml:space="preserve"> K/W 2023 én ≤ 24 maanden geleden</t>
    </r>
  </si>
  <si>
    <t>Keuzelijst datum uitvoering vloerisolatie</t>
  </si>
  <si>
    <t>Samengestelde categorie-omschrijving t.b.v. zoeken in tabellen vloerisolatie</t>
  </si>
  <si>
    <t>Keuzelijst datum uitvoering bodemisolatie</t>
  </si>
  <si>
    <r>
      <t>Vloerisolatie, Rd ≥ 3,5m</t>
    </r>
    <r>
      <rPr>
        <vertAlign val="superscript"/>
        <sz val="11"/>
        <color theme="1"/>
        <rFont val="Calibri"/>
        <family val="2"/>
        <scheme val="minor"/>
      </rPr>
      <t>2</t>
    </r>
    <r>
      <rPr>
        <sz val="11"/>
        <color theme="1"/>
        <rFont val="Calibri"/>
        <family val="2"/>
        <scheme val="minor"/>
      </rPr>
      <t xml:space="preserve"> K/W 2023 én ≤ 24 maanden geleden</t>
    </r>
  </si>
  <si>
    <r>
      <t>Bodemisolatie, Rd ≥ 3,5m</t>
    </r>
    <r>
      <rPr>
        <vertAlign val="superscript"/>
        <sz val="11"/>
        <color theme="1"/>
        <rFont val="Calibri"/>
        <family val="2"/>
        <scheme val="minor"/>
      </rPr>
      <t>2</t>
    </r>
    <r>
      <rPr>
        <sz val="11"/>
        <color theme="1"/>
        <rFont val="Calibri"/>
        <family val="2"/>
        <scheme val="minor"/>
      </rPr>
      <t xml:space="preserve"> K/W 2023 én ≤ 24 maanden geleden</t>
    </r>
  </si>
  <si>
    <t>WAAR = biobased zolder-of vlieringisolatie</t>
  </si>
  <si>
    <t>WAAR = biobased bodemisolatie</t>
  </si>
  <si>
    <t>Dakisolatie en/of zolder-of vlieringisolatie</t>
  </si>
  <si>
    <t>Vloerisolatie en/of bodemisolatie</t>
  </si>
  <si>
    <t>In de meldcodelijst vindt u alle meldcodes en subsidiebedragen voor zonneboilers. De meldcodelijst is een overzicht van merk- en productnamen die zijn goedgekeurd en in aanmerking komen voor subsidie.</t>
  </si>
  <si>
    <t>Meldcodelijst zonneboilers</t>
  </si>
  <si>
    <t>In de meldcodelijst vindt u alle meldcodes en subsidiebedragen voor warmtepompen. De meldcodelijst is een overzicht van merk- en productnamen die zijn goedgekeurd en in aanmerking komen voor subsidie.</t>
  </si>
  <si>
    <t>Meldcodelijst warmtepompen</t>
  </si>
  <si>
    <t>Ondergrens vermogen voor toeslag euro/kW</t>
  </si>
  <si>
    <t>Bovengrens vermogen voor toeslag euro/kW</t>
  </si>
  <si>
    <t>Toeslag euro/kW vermogen (0=nee, 1=ja)</t>
  </si>
  <si>
    <t>Vóór 2025 én ≤ 24 maanden geleden</t>
  </si>
  <si>
    <t>Datum uitvoering isolatiemaatregel
 (2 perioden binnen 24 maanden mogelijk)</t>
  </si>
  <si>
    <t>Keuzelijst HR++ glas</t>
  </si>
  <si>
    <t>Keuzelijst datum uitvoering HR++ glas</t>
  </si>
  <si>
    <t>Geen HR++ glas</t>
  </si>
  <si>
    <t>Samengestelde categorie-omschrijvingen t.b.v. zoeken in tabellen HR++ glas</t>
  </si>
  <si>
    <t>Glasmaatregel beginschermen uitvoeringsjaar niet van toepassing</t>
  </si>
  <si>
    <t>Samengestelde categorie-omschrijving 2023-2024</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</si>
  <si>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</si>
  <si>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 in 2023-2024</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</si>
  <si>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</si>
  <si>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 in 2025</t>
    </r>
  </si>
  <si>
    <t>HR++ glas Vóór 2025 én ≤ 24 maanden geleden</t>
  </si>
  <si>
    <t>Triple glas Vóór 2025 én ≤ 24 maanden geleden</t>
  </si>
  <si>
    <t>HR++ glas 2025</t>
  </si>
  <si>
    <t>Triple glas 2025</t>
  </si>
  <si>
    <t>Geen Triple glas</t>
  </si>
  <si>
    <t>Isolerende glasmaatregel</t>
  </si>
  <si>
    <t>Isolerende glasmaatregel 2023-2024</t>
  </si>
  <si>
    <t>Isolerende glasmaatregel 2025</t>
  </si>
  <si>
    <t>Geen HR++ glas Vóór 2025 én ≤ 24 maanden geleden</t>
  </si>
  <si>
    <t>Geen Triple glas Vóór 2025 én ≤ 24 maanden geleden</t>
  </si>
  <si>
    <t>Geen HR++ glas 2025</t>
  </si>
  <si>
    <t>Keuzelijst Triple glas</t>
  </si>
  <si>
    <t>Keuzelijst datum uitvoering Triple glas</t>
  </si>
  <si>
    <t>Samengestelde categorie-omschrijvingen t.b.v. zoeken in tabellen Triple glas</t>
  </si>
  <si>
    <t>Geen HR++ glas ONWAAR</t>
  </si>
  <si>
    <t>Geen Triple glas ONWAAR</t>
  </si>
  <si>
    <t>HR++ glas ONWAAR</t>
  </si>
  <si>
    <t>Triple glas ONWAAR</t>
  </si>
  <si>
    <t>Geen Triple glas 2025</t>
  </si>
  <si>
    <t>Voorloop vragen glasopties</t>
  </si>
  <si>
    <t>Geen Isolerende panelen, U ≤ 1,2 W/m2K</t>
  </si>
  <si>
    <t>Isolerende panelen, U ≤ 1,2 W/m2K</t>
  </si>
  <si>
    <t>Keuzelijst Isolerende panelen, U ≤ 1,2 W/m2K</t>
  </si>
  <si>
    <t>Keuzelijst datum uitvoering Isolerende panelen, U ≤ 1,2 W/m2K</t>
  </si>
  <si>
    <r>
      <t>Geen Isolerende panelen, U ≤ 1,2 W/m</t>
    </r>
    <r>
      <rPr>
        <vertAlign val="superscript"/>
        <sz val="11"/>
        <color theme="1"/>
        <rFont val="Calibri"/>
        <family val="2"/>
        <scheme val="minor"/>
      </rPr>
      <t>2</t>
    </r>
    <r>
      <rPr>
        <sz val="11"/>
        <color theme="1"/>
        <rFont val="Calibri"/>
        <family val="2"/>
        <scheme val="minor"/>
      </rPr>
      <t>K ONWAAR</t>
    </r>
  </si>
  <si>
    <r>
      <t>Geen Isolerende panelen, U ≤ 0,7 W/m</t>
    </r>
    <r>
      <rPr>
        <vertAlign val="superscript"/>
        <sz val="11"/>
        <color theme="1"/>
        <rFont val="Calibri"/>
        <family val="2"/>
        <scheme val="minor"/>
      </rPr>
      <t>2</t>
    </r>
    <r>
      <rPr>
        <sz val="11"/>
        <color theme="1"/>
        <rFont val="Calibri"/>
        <family val="2"/>
        <scheme val="minor"/>
      </rPr>
      <t>K ONWAAR</t>
    </r>
  </si>
  <si>
    <r>
      <t>Isolerende panelen, U ≤ 1,2 W/m</t>
    </r>
    <r>
      <rPr>
        <vertAlign val="superscript"/>
        <sz val="11"/>
        <color theme="1"/>
        <rFont val="Calibri"/>
        <family val="2"/>
        <scheme val="minor"/>
      </rPr>
      <t>2</t>
    </r>
    <r>
      <rPr>
        <sz val="11"/>
        <color theme="1"/>
        <rFont val="Calibri"/>
        <family val="2"/>
        <scheme val="minor"/>
      </rPr>
      <t>K ONWAAR</t>
    </r>
  </si>
  <si>
    <r>
      <t>Isolerende panelen, U ≤ 0,7 W/m</t>
    </r>
    <r>
      <rPr>
        <vertAlign val="superscript"/>
        <sz val="11"/>
        <color theme="1"/>
        <rFont val="Calibri"/>
        <family val="2"/>
        <scheme val="minor"/>
      </rPr>
      <t>2</t>
    </r>
    <r>
      <rPr>
        <sz val="11"/>
        <color theme="1"/>
        <rFont val="Calibri"/>
        <family val="2"/>
        <scheme val="minor"/>
      </rPr>
      <t>K ONWAAR</t>
    </r>
  </si>
  <si>
    <r>
      <t>Geen Isolerende panelen, U ≤ 1,2 W/m</t>
    </r>
    <r>
      <rPr>
        <vertAlign val="superscript"/>
        <sz val="11"/>
        <color theme="1"/>
        <rFont val="Calibri"/>
        <family val="2"/>
        <scheme val="minor"/>
      </rPr>
      <t>2</t>
    </r>
    <r>
      <rPr>
        <sz val="11"/>
        <color theme="1"/>
        <rFont val="Calibri"/>
        <family val="2"/>
        <scheme val="minor"/>
      </rPr>
      <t>K Vóór 2025 én ≤ 24 maanden geleden</t>
    </r>
  </si>
  <si>
    <r>
      <t>Geen Isolerende panelen, U ≤ 0,7 W/m</t>
    </r>
    <r>
      <rPr>
        <vertAlign val="superscript"/>
        <sz val="11"/>
        <color theme="1"/>
        <rFont val="Calibri"/>
        <family val="2"/>
        <scheme val="minor"/>
      </rPr>
      <t>2</t>
    </r>
    <r>
      <rPr>
        <sz val="11"/>
        <color theme="1"/>
        <rFont val="Calibri"/>
        <family val="2"/>
        <scheme val="minor"/>
      </rPr>
      <t>K Vóór 2025 én ≤ 24 maanden geleden</t>
    </r>
  </si>
  <si>
    <r>
      <t>Isolerende panelen, U ≤ 1,2 W/m</t>
    </r>
    <r>
      <rPr>
        <vertAlign val="superscript"/>
        <sz val="11"/>
        <color theme="1"/>
        <rFont val="Calibri"/>
        <family val="2"/>
        <scheme val="minor"/>
      </rPr>
      <t>2</t>
    </r>
    <r>
      <rPr>
        <sz val="11"/>
        <color theme="1"/>
        <rFont val="Calibri"/>
        <family val="2"/>
        <scheme val="minor"/>
      </rPr>
      <t>K Vóór 2025 én ≤ 24 maanden geleden</t>
    </r>
  </si>
  <si>
    <r>
      <t>Isolerende panelen, U ≤ 1,2 W/m</t>
    </r>
    <r>
      <rPr>
        <vertAlign val="superscript"/>
        <sz val="11"/>
        <color theme="1"/>
        <rFont val="Calibri"/>
        <family val="2"/>
        <scheme val="minor"/>
      </rPr>
      <t>2</t>
    </r>
    <r>
      <rPr>
        <sz val="11"/>
        <color theme="1"/>
        <rFont val="Calibri"/>
        <family val="2"/>
        <scheme val="minor"/>
      </rPr>
      <t>K 2025</t>
    </r>
  </si>
  <si>
    <r>
      <t>Isolerende panelen, U ≤ 0,7 W/m</t>
    </r>
    <r>
      <rPr>
        <vertAlign val="superscript"/>
        <sz val="11"/>
        <color theme="1"/>
        <rFont val="Calibri"/>
        <family val="2"/>
        <scheme val="minor"/>
      </rPr>
      <t>2</t>
    </r>
    <r>
      <rPr>
        <sz val="11"/>
        <color theme="1"/>
        <rFont val="Calibri"/>
        <family val="2"/>
        <scheme val="minor"/>
      </rPr>
      <t>K 2025</t>
    </r>
  </si>
  <si>
    <r>
      <t>Isolerende panelen, U ≤ 0,7 W/m</t>
    </r>
    <r>
      <rPr>
        <vertAlign val="superscript"/>
        <sz val="11"/>
        <color theme="1"/>
        <rFont val="Calibri"/>
        <family val="2"/>
        <scheme val="minor"/>
      </rPr>
      <t>2</t>
    </r>
    <r>
      <rPr>
        <sz val="11"/>
        <color theme="1"/>
        <rFont val="Calibri"/>
        <family val="2"/>
        <scheme val="minor"/>
      </rPr>
      <t>K Vóór 2025 én ≤ 24 maanden geleden</t>
    </r>
  </si>
  <si>
    <r>
      <t>Geen Isolerende panelen, U ≤ 1,2 W/m</t>
    </r>
    <r>
      <rPr>
        <vertAlign val="superscript"/>
        <sz val="11"/>
        <color theme="1"/>
        <rFont val="Calibri"/>
        <family val="2"/>
        <scheme val="minor"/>
      </rPr>
      <t>2</t>
    </r>
    <r>
      <rPr>
        <sz val="11"/>
        <color theme="1"/>
        <rFont val="Calibri"/>
        <family val="2"/>
        <scheme val="minor"/>
      </rPr>
      <t>K 2025</t>
    </r>
  </si>
  <si>
    <r>
      <t>Geen Isolerende panelen, U ≤ 0,7 W/m</t>
    </r>
    <r>
      <rPr>
        <vertAlign val="superscript"/>
        <sz val="11"/>
        <color theme="1"/>
        <rFont val="Calibri"/>
        <family val="2"/>
        <scheme val="minor"/>
      </rPr>
      <t>2</t>
    </r>
    <r>
      <rPr>
        <sz val="11"/>
        <color theme="1"/>
        <rFont val="Calibri"/>
        <family val="2"/>
        <scheme val="minor"/>
      </rPr>
      <t>K 2025</t>
    </r>
  </si>
  <si>
    <t>Keuzelijst Isolerende panelen, U ≤ 0,7 W/m2K</t>
  </si>
  <si>
    <t>Geen Isolerende panelen, U ≤ 0,7 W/m2K</t>
  </si>
  <si>
    <t>Isolerende panelen, U ≤ 0,7 W/m2K</t>
  </si>
  <si>
    <t>Keuzelijst datum uitvoering Isolerende panelen, U ≤ 0,7 W/m2K</t>
  </si>
  <si>
    <t>Samengestelde categorie-omschrijvingen t.b.v. zoeken in tabellen Isolerende panelen, U ≤ 0,7 W/m2K</t>
  </si>
  <si>
    <t>Samengestelde categorie-omschrijvingen t.b.v. zoeken in tabellen Isolerende panelen, U ≤ 1,2 W/m2K</t>
  </si>
  <si>
    <t>Keuzelijst Isolerende deuren, U ≤1,5 W/m2K</t>
  </si>
  <si>
    <t>Geen Isolerende deuren, U ≤ 1,0 W/m2K</t>
  </si>
  <si>
    <t>Isolerende deuren, U ≤ 1,5 W/m2K</t>
  </si>
  <si>
    <t>Geen Isolerende deuren, U ≤ 1,5 W/m2K</t>
  </si>
  <si>
    <t>Isolerende deuren, U ≤ 1,0 W/m2K</t>
  </si>
  <si>
    <t>Keuzelijst Isolerende deuren, U ≤ 1,0 W/m2K</t>
  </si>
  <si>
    <t>Samengestelde categorie-omschrijvingen t.b.v. zoeken in tabellen Isolerende deuren, U ≤ 1,5 W/m2K</t>
  </si>
  <si>
    <t>Samengestelde categorie-omschrijvingen t.b.v. zoeken in tabellen Isolerende deuren, U ≤ 1,0 W/m2K</t>
  </si>
  <si>
    <t>Keuzelijst datum uitvoering Isolerende deuren, U ≤ 1,0 W/m2K</t>
  </si>
  <si>
    <t>Keuzelijst datum uitvoering Isolerende deuren, U ≤ 1,5 W/m2K</t>
  </si>
  <si>
    <t>Geen Isolerende deuren, U ≤ 1,5 W/m2K ONWAAR</t>
  </si>
  <si>
    <t>Geen Isolerende deuren, U ≤ 1,0 W/m2K ONWAAR</t>
  </si>
  <si>
    <t>Isolerende deuren, U ≤ 1,5 W/m2K ONWAAR</t>
  </si>
  <si>
    <t>Geen Isolerende deuren, U ≤ 1,5 W/m2K Vóór 2025 én ≤ 24 maanden geleden</t>
  </si>
  <si>
    <t>Isolerende deuren, U ≤ 1,5 W/m2K Vóór 2025 én ≤ 24 maanden geleden</t>
  </si>
  <si>
    <t>Geen Isolerende deuren, U ≤ 1,5 W/m2K 2025</t>
  </si>
  <si>
    <t>Isolerende deuren, U ≤ 1,5 W/m2K 2025</t>
  </si>
  <si>
    <t>Isolerende deuren, U ≤ 1,0 W/m2K ONWAAR</t>
  </si>
  <si>
    <t>Geen Isolerende deuren, U ≤ 1,0 W/m2K Vóór 2025 én ≤ 24 maanden geleden</t>
  </si>
  <si>
    <t>Isolerende deuren, U ≤ 1,0 W/m2K Vóór 2025 én ≤ 24 maanden geleden</t>
  </si>
  <si>
    <t>Geen Isolerende deuren, U ≤ 1,0 W/m2K 2025</t>
  </si>
  <si>
    <t>Isolerende deuren, U ≤ 1,0 W/m2K 2025</t>
  </si>
  <si>
    <t>m2 in 2024</t>
  </si>
  <si>
    <t>m2 in 2025</t>
  </si>
  <si>
    <t>Subtellertje glasopties m2 (6 glasopties x 2 periodes = 12 opties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</si>
</sst>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3">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u/>
      <sz val="11"/>
      <color theme="10"/>
      <name val="Calibri"/>
      <family val="2"/>
      <scheme val="minor"/>
    </font>
    <font>
      <b/>
      <sz val="24"/>
      <name val="Sans"/>
    </font>
    <font>
      <sz val="12"/>
      <name val="Sans"/>
    </font>
    <font>
      <sz val="18"/>
      <name val="Sans"/>
    </font>
    <font>
      <u/>
      <sz val="11"/>
      <name val="Calibri"/>
      <family val="2"/>
      <scheme val="minor"/>
    </font>
    <font>
      <b/>
      <sz val="11"/>
      <color theme="1"/>
      <name val="Calibri"/>
      <family val="2"/>
      <scheme val="minor"/>
    </font>
    <font>
      <sz val="11"/>
      <color rgb="FFFF0000"/>
      <name val="Calibri"/>
      <family val="2"/>
      <scheme val="minor"/>
    </font>
    <font>
      <sz val="11"/>
      <color theme="1"/>
      <name val="Calibri"/>
      <family val="2"/>
    </font>
    <font>
      <sz val="8"/>
      <name val="Calibri"/>
      <family val="2"/>
      <scheme val="minor"/>
    </font>
    <font>
      <b/>
      <sz val="11"/>
      <color theme="1"/>
      <name val="Calibri"/>
      <family val="2"/>
    </font>
    <font>
      <vertAlign val="superscript"/>
      <sz val="11"/>
      <color theme="1"/>
      <name val="Calibri"/>
      <family val="2"/>
    </font>
    <font>
      <b/>
      <vertAlign val="superscript"/>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vertAlign val="superscript"/>
      <sz val="11"/>
      <color theme="1"/>
      <name val="Calibri"/>
      <family val="2"/>
    </font>
    <font>
      <vertAlign val="superscript"/>
      <sz val="11"/>
      <color theme="1"/>
      <name val="Calibri"/>
      <family val="2"/>
      <scheme val="minor"/>
    </font>
    <font>
      <sz val="11"/>
      <name val="Calibri"/>
      <family val="2"/>
    </font>
    <font>
      <b/>
      <sz val="14"/>
      <color theme="1"/>
      <name val="Calibri"/>
      <family val="2"/>
      <scheme val="minor"/>
    </font>
    <font>
      <b/>
      <sz val="12"/>
      <color rgb="FF000000"/>
      <name val="Sans"/>
    </font>
    <font>
      <b/>
      <sz val="14"/>
      <name val="Calibri"/>
      <family val="2"/>
      <scheme val="minor"/>
    </font>
    <font>
      <sz val="9"/>
      <color indexed="81"/>
      <name val="Tahoma"/>
      <family val="2"/>
    </font>
    <font>
      <b/>
      <sz val="9"/>
      <color indexed="81"/>
      <name val="Tahoma"/>
      <family val="2"/>
    </font>
    <font>
      <sz val="18"/>
      <color rgb="FF000000"/>
      <name val="Sans"/>
    </font>
    <font>
      <sz val="11"/>
      <color rgb="FF000000"/>
      <name val="Calibri"/>
      <family val="2"/>
    </font>
    <font>
      <sz val="11"/>
      <color rgb="FFC00000"/>
      <name val="Calibri"/>
      <family val="2"/>
      <scheme val="minor"/>
    </font>
    <font>
      <b/>
      <sz val="11"/>
      <color rgb="FFC00000"/>
      <name val="Calibri"/>
      <family val="2"/>
      <scheme val="minor"/>
    </font>
    <font>
      <b/>
      <sz val="11"/>
      <color rgb="FFD4351C"/>
      <name val="Calibri"/>
      <family val="2"/>
      <scheme val="minor"/>
    </font>
    <font>
      <sz val="11"/>
      <color theme="0"/>
      <name val="Calibri"/>
      <family val="2"/>
      <scheme val="minor"/>
    </font>
    <font>
      <sz val="8"/>
      <color rgb="FF000000"/>
      <name val="Segoe UI"/>
      <family val="2"/>
    </font>
    <font>
      <b/>
      <sz val="12"/>
      <color rgb="FFFF0000"/>
      <name val="Calibri"/>
      <family val="2"/>
      <scheme val="minor"/>
    </font>
    <font>
      <b/>
      <sz val="10"/>
      <color theme="1"/>
      <name val="Calibri"/>
      <family val="2"/>
      <scheme val="minor"/>
    </font>
    <font>
      <sz val="10"/>
      <color theme="0"/>
      <name val="Calibri"/>
      <family val="2"/>
      <scheme val="minor"/>
    </font>
    <font>
      <b/>
      <sz val="10"/>
      <color rgb="FFD4351C"/>
      <name val="Calibri"/>
      <family val="2"/>
      <scheme val="minor"/>
    </font>
    <font>
      <sz val="10"/>
      <color rgb="FF000000"/>
      <name val="Calibri"/>
      <family val="2"/>
    </font>
    <font>
      <sz val="16"/>
      <name val="Sans"/>
    </font>
    <font>
      <sz val="16"/>
      <color rgb="FF000000"/>
      <name val="Sans"/>
    </font>
    <font>
      <b/>
      <sz val="11"/>
      <color rgb="FF000000"/>
      <name val="Sans"/>
    </font>
    <font>
      <b/>
      <sz val="11"/>
      <name val="Sans"/>
    </font>
    <font>
      <vertAlign val="superscript"/>
      <sz val="10"/>
      <color theme="1"/>
      <name val="Calibri"/>
      <family val="2"/>
      <scheme val="minor"/>
    </font>
    <font>
      <sz val="10"/>
      <color theme="1"/>
      <name val="Calibri"/>
      <family val="2"/>
    </font>
    <font>
      <b/>
      <sz val="10"/>
      <color rgb="FFFF0000"/>
      <name val="Calibri"/>
      <family val="2"/>
      <scheme val="minor"/>
    </font>
    <font>
      <b/>
      <vertAlign val="superscript"/>
      <sz val="10"/>
      <color theme="1"/>
      <name val="Calibri"/>
      <family val="2"/>
      <scheme val="minor"/>
    </font>
    <font>
      <b/>
      <sz val="10"/>
      <color theme="1"/>
      <name val="Calibri"/>
      <family val="2"/>
    </font>
    <font>
      <sz val="10"/>
      <name val="Calibri"/>
      <family val="2"/>
      <scheme val="minor"/>
    </font>
    <font>
      <sz val="10"/>
      <name val="Calibri"/>
      <family val="2"/>
    </font>
    <font>
      <sz val="10"/>
      <name val="Sans"/>
    </font>
    <font>
      <sz val="10"/>
      <color rgb="FFC00000"/>
      <name val="Calibri"/>
      <family val="2"/>
      <scheme val="minor"/>
    </font>
    <font>
      <b/>
      <sz val="13"/>
      <color theme="1"/>
      <name val="Calibri"/>
      <family val="2"/>
      <scheme val="minor"/>
    </font>
    <font>
      <b/>
      <sz val="13"/>
      <color theme="1"/>
      <name val="Calibri"/>
      <family val="2"/>
    </font>
    <font>
      <b/>
      <sz val="22"/>
      <name val="Sans"/>
    </font>
    <font>
      <b/>
      <sz val="11"/>
      <color rgb="FF0070C0"/>
      <name val="Sans"/>
    </font>
    <font>
      <b/>
      <sz val="20"/>
      <color theme="1"/>
      <name val="Calibri"/>
      <family val="2"/>
      <scheme val="minor"/>
    </font>
    <font>
      <b/>
      <sz val="18"/>
      <color theme="1"/>
      <name val="Calibri"/>
      <family val="2"/>
      <scheme val="minor"/>
    </font>
    <font>
      <b/>
      <sz val="12"/>
      <color theme="1"/>
      <name val="Calibri"/>
      <family val="2"/>
      <scheme val="minor"/>
    </font>
    <font>
      <b/>
      <sz val="12"/>
      <color theme="1"/>
      <name val="Calibri"/>
      <family val="2"/>
    </font>
    <font>
      <i/>
      <sz val="11"/>
      <name val="Calibri"/>
      <family val="2"/>
      <scheme val="minor"/>
    </font>
    <font>
      <sz val="11"/>
      <color theme="1"/>
      <name val="Aptos Narrow"/>
      <family val="2"/>
    </font>
    <font>
      <vertAlign val="superscript"/>
      <sz val="11"/>
      <name val="Calibri"/>
      <family val="2"/>
      <scheme val="minor"/>
    </font>
    <font>
      <b/>
      <sz val="11"/>
      <name val="Aptos Narrow"/>
      <family val="2"/>
    </font>
    <font>
      <b/>
      <sz val="11"/>
      <name val="Calibri"/>
      <family val="2"/>
    </font>
    <font>
      <b/>
      <sz val="11"/>
      <color theme="1"/>
      <name val="Aptos Narrow"/>
      <family val="2"/>
    </font>
    <font>
      <b/>
      <sz val="8.25"/>
      <color theme="1"/>
      <name val="Calibri"/>
      <family val="2"/>
    </font>
    <font>
      <b/>
      <u/>
      <sz val="11"/>
      <color theme="10"/>
      <name val="Calibri"/>
      <family val="2"/>
      <scheme val="minor"/>
    </font>
    <font>
      <b/>
      <sz val="11"/>
      <color rgb="FFD4351C"/>
      <name val="__ROsans_ca772e"/>
    </font>
    <font>
      <sz val="10"/>
      <color theme="1"/>
      <name val="Aptos Narrow"/>
      <family val="2"/>
    </font>
  </fonts>
  <fills count="8">
    <fill>
      <patternFill patternType="none"/>
    </fill>
    <fill>
      <patternFill patternType="gray125"/>
    </fill>
    <fill>
      <patternFill patternType="solid">
        <fgColor theme="0"/>
        <bgColor indexed="64"/>
      </patternFill>
    </fill>
    <fill>
      <patternFill patternType="solid">
        <fgColor rgb="FFF8F8F8"/>
        <bgColor indexed="64"/>
      </patternFill>
    </fill>
    <fill>
      <patternFill patternType="solid">
        <fgColor rgb="FF007BC7"/>
        <bgColor indexed="64"/>
      </patternFill>
    </fill>
    <fill>
      <patternFill patternType="solid">
        <fgColor rgb="FF92D050"/>
        <bgColor indexed="64"/>
      </patternFill>
    </fill>
    <fill>
      <patternFill patternType="solid">
        <fgColor rgb="FFFFC000"/>
        <bgColor indexed="64"/>
      </patternFill>
    </fill>
    <fill>
      <patternFill patternType="solid">
        <fgColor theme="8"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183">
    <xf numFmtId="0" fontId="0" fillId="0" borderId="0" xfId="0"/>
    <xf numFmtId="0" fontId="12" fillId="0" borderId="0" xfId="0" applyFont="1"/>
    <xf numFmtId="0" fontId="13" fillId="0" borderId="0" xfId="0" applyFont="1"/>
    <xf numFmtId="0" fontId="20" fillId="0" borderId="0" xfId="0" applyFont="1"/>
    <xf numFmtId="0" fontId="12" fillId="0" borderId="0" xfId="0" applyFont="1" applyAlignment="1">
      <alignment horizontal="left" wrapText="1"/>
    </xf>
    <xf numFmtId="0" fontId="21" fillId="0" borderId="0" xfId="0" applyFont="1"/>
    <xf numFmtId="0" fontId="19" fillId="0" borderId="0" xfId="0" applyFont="1"/>
    <xf numFmtId="0" fontId="0" fillId="0" borderId="0" xfId="0" applyAlignment="1">
      <alignment wrapText="1"/>
    </xf>
    <xf numFmtId="0" fontId="0" fillId="2" borderId="0" xfId="0" applyFill="1"/>
    <xf numFmtId="0" fontId="0" fillId="3" borderId="0" xfId="0" applyFill="1"/>
    <xf numFmtId="0" fontId="8" fillId="3" borderId="0" xfId="0" applyFont="1" applyFill="1"/>
    <xf numFmtId="0" fontId="11" fillId="3" borderId="0" xfId="1" applyFont="1" applyFill="1" applyAlignment="1" applyProtection="1">
      <alignment horizontal="left" vertical="center"/>
    </xf>
    <xf numFmtId="0" fontId="7" fillId="3" borderId="0" xfId="1" applyFill="1" applyAlignment="1" applyProtection="1">
      <alignment horizontal="left" vertical="center"/>
    </xf>
    <xf numFmtId="0" fontId="30" fillId="3" borderId="0" xfId="0" applyFont="1" applyFill="1" applyAlignment="1">
      <alignment vertical="center"/>
    </xf>
    <xf numFmtId="0" fontId="31" fillId="3" borderId="0" xfId="0" applyFont="1" applyFill="1" applyAlignment="1">
      <alignment vertical="center"/>
    </xf>
    <xf numFmtId="0" fontId="34" fillId="3" borderId="0" xfId="0" applyFont="1" applyFill="1"/>
    <xf numFmtId="0" fontId="20" fillId="3" borderId="0" xfId="0" applyFont="1" applyFill="1"/>
    <xf numFmtId="4" fontId="0" fillId="3" borderId="1" xfId="0" applyNumberFormat="1" applyFill="1" applyBorder="1"/>
    <xf numFmtId="0" fontId="0" fillId="3" borderId="0" xfId="0" applyFill="1" applyAlignment="1">
      <alignment horizontal="center"/>
    </xf>
    <xf numFmtId="3" fontId="0" fillId="3" borderId="0" xfId="0" applyNumberFormat="1" applyFill="1"/>
    <xf numFmtId="0" fontId="12" fillId="3" borderId="0" xfId="0" applyFont="1" applyFill="1" applyAlignment="1">
      <alignment vertical="center"/>
    </xf>
    <xf numFmtId="0" fontId="19" fillId="3" borderId="0" xfId="0" applyFont="1" applyFill="1"/>
    <xf numFmtId="0" fontId="0" fillId="3" borderId="0" xfId="0" applyFill="1" applyAlignment="1">
      <alignment horizontal="left"/>
    </xf>
    <xf numFmtId="0" fontId="10" fillId="3" borderId="0" xfId="0" applyFont="1" applyFill="1"/>
    <xf numFmtId="0" fontId="13" fillId="3" borderId="0" xfId="0" applyFont="1" applyFill="1"/>
    <xf numFmtId="0" fontId="32" fillId="3" borderId="0" xfId="0" applyFont="1" applyFill="1"/>
    <xf numFmtId="0" fontId="33" fillId="3" borderId="0" xfId="0" applyFont="1" applyFill="1" applyAlignment="1">
      <alignment wrapText="1"/>
    </xf>
    <xf numFmtId="0" fontId="32" fillId="3" borderId="0" xfId="0" applyFont="1" applyFill="1" applyAlignment="1">
      <alignment vertical="top"/>
    </xf>
    <xf numFmtId="0" fontId="0" fillId="3" borderId="0" xfId="0" applyFill="1" applyAlignment="1">
      <alignment vertical="top"/>
    </xf>
    <xf numFmtId="0" fontId="25" fillId="3" borderId="0" xfId="0" applyFont="1" applyFill="1"/>
    <xf numFmtId="0" fontId="14" fillId="0" borderId="0" xfId="0" applyFont="1"/>
    <xf numFmtId="1" fontId="20" fillId="0" borderId="0" xfId="0" applyNumberFormat="1" applyFont="1"/>
    <xf numFmtId="0" fontId="21" fillId="0" borderId="0" xfId="0" applyFont="1" applyAlignment="1">
      <alignment wrapText="1"/>
    </xf>
    <xf numFmtId="0" fontId="21" fillId="5" borderId="0" xfId="0" applyFont="1" applyFill="1"/>
    <xf numFmtId="0" fontId="12" fillId="5" borderId="0" xfId="0" applyFont="1" applyFill="1"/>
    <xf numFmtId="0" fontId="21" fillId="5" borderId="0" xfId="0" applyFont="1" applyFill="1" applyAlignment="1">
      <alignment horizontal="right"/>
    </xf>
    <xf numFmtId="0" fontId="12" fillId="5" borderId="0" xfId="0" applyFont="1" applyFill="1" applyAlignment="1">
      <alignment horizontal="right"/>
    </xf>
    <xf numFmtId="0" fontId="0" fillId="5" borderId="0" xfId="0" applyFill="1"/>
    <xf numFmtId="0" fontId="0" fillId="5" borderId="0" xfId="0" applyFill="1" applyAlignment="1">
      <alignment horizontal="right"/>
    </xf>
    <xf numFmtId="0" fontId="20" fillId="5" borderId="0" xfId="0" applyFont="1" applyFill="1"/>
    <xf numFmtId="4" fontId="0" fillId="3" borderId="0" xfId="0" applyNumberFormat="1" applyFill="1"/>
    <xf numFmtId="0" fontId="20" fillId="5" borderId="0" xfId="0" applyFont="1" applyFill="1" applyAlignment="1">
      <alignment horizontal="right"/>
    </xf>
    <xf numFmtId="1" fontId="35" fillId="4" borderId="1" xfId="0" applyNumberFormat="1" applyFont="1" applyFill="1" applyBorder="1" applyProtection="1">
      <protection locked="0"/>
    </xf>
    <xf numFmtId="0" fontId="9" fillId="3" borderId="0" xfId="0" applyFont="1" applyFill="1" applyAlignment="1">
      <alignment vertical="center" wrapText="1"/>
    </xf>
    <xf numFmtId="0" fontId="0" fillId="3" borderId="0" xfId="0" applyFill="1" applyAlignment="1">
      <alignment vertical="top" wrapText="1"/>
    </xf>
    <xf numFmtId="0" fontId="20" fillId="3" borderId="0" xfId="0" applyFont="1" applyFill="1" applyAlignment="1">
      <alignment vertical="top" wrapText="1"/>
    </xf>
    <xf numFmtId="0" fontId="0" fillId="3" borderId="0" xfId="0" applyFill="1" applyAlignment="1">
      <alignment wrapText="1"/>
    </xf>
    <xf numFmtId="0" fontId="11" fillId="3" borderId="0" xfId="1" applyFont="1" applyFill="1" applyAlignment="1" applyProtection="1">
      <alignment horizontal="left" vertical="center" wrapText="1"/>
    </xf>
    <xf numFmtId="0" fontId="0" fillId="3" borderId="0" xfId="0" applyFill="1" applyAlignment="1">
      <alignment vertical="center"/>
    </xf>
    <xf numFmtId="0" fontId="26" fillId="3" borderId="0" xfId="0" applyFont="1" applyFill="1" applyAlignment="1">
      <alignment vertical="center" wrapText="1"/>
    </xf>
    <xf numFmtId="0" fontId="12" fillId="3" borderId="0" xfId="0" applyFont="1" applyFill="1" applyAlignment="1">
      <alignment wrapText="1"/>
    </xf>
    <xf numFmtId="0" fontId="6" fillId="3" borderId="0" xfId="0" applyFont="1" applyFill="1"/>
    <xf numFmtId="0" fontId="38" fillId="3" borderId="0" xfId="0" applyFont="1" applyFill="1"/>
    <xf numFmtId="0" fontId="38" fillId="3" borderId="0" xfId="0" applyFont="1" applyFill="1" applyAlignment="1">
      <alignment horizontal="left" vertical="center"/>
    </xf>
    <xf numFmtId="0" fontId="41" fillId="3" borderId="0" xfId="0" applyFont="1" applyFill="1" applyAlignment="1">
      <alignment vertical="center"/>
    </xf>
    <xf numFmtId="0" fontId="42" fillId="3" borderId="0" xfId="0" applyFont="1" applyFill="1" applyAlignment="1">
      <alignment vertical="center"/>
    </xf>
    <xf numFmtId="0" fontId="43" fillId="3" borderId="0" xfId="0" applyFont="1" applyFill="1" applyAlignment="1">
      <alignment vertical="center"/>
    </xf>
    <xf numFmtId="0" fontId="45" fillId="3" borderId="0" xfId="0" applyFont="1" applyFill="1" applyAlignment="1">
      <alignment vertical="center"/>
    </xf>
    <xf numFmtId="0" fontId="6" fillId="3" borderId="0" xfId="0" applyFont="1" applyFill="1" applyAlignment="1">
      <alignment vertical="center" wrapText="1"/>
    </xf>
    <xf numFmtId="0" fontId="6" fillId="3" borderId="0" xfId="0" applyFont="1" applyFill="1" applyAlignment="1">
      <alignment vertical="top" wrapText="1"/>
    </xf>
    <xf numFmtId="0" fontId="6" fillId="3" borderId="0" xfId="0" applyFont="1" applyFill="1" applyAlignment="1">
      <alignment horizontal="left" vertical="top" wrapText="1"/>
    </xf>
    <xf numFmtId="0" fontId="6" fillId="3" borderId="1" xfId="0" applyFont="1" applyFill="1" applyBorder="1" applyAlignment="1">
      <alignment horizontal="center"/>
    </xf>
    <xf numFmtId="43" fontId="6" fillId="3" borderId="1" xfId="0" applyNumberFormat="1" applyFont="1" applyFill="1" applyBorder="1"/>
    <xf numFmtId="0" fontId="39" fillId="4" borderId="1" xfId="0" applyFont="1" applyFill="1" applyBorder="1" applyAlignment="1" applyProtection="1">
      <alignment horizontal="right"/>
      <protection locked="0"/>
    </xf>
    <xf numFmtId="0" fontId="6" fillId="3" borderId="1" xfId="0" applyFont="1" applyFill="1" applyBorder="1"/>
    <xf numFmtId="4" fontId="6" fillId="3" borderId="1" xfId="0" applyNumberFormat="1" applyFont="1" applyFill="1" applyBorder="1"/>
    <xf numFmtId="0" fontId="6" fillId="3" borderId="0" xfId="0" applyFont="1" applyFill="1" applyAlignment="1">
      <alignment horizontal="center"/>
    </xf>
    <xf numFmtId="43" fontId="6" fillId="3" borderId="0" xfId="0" applyNumberFormat="1" applyFont="1" applyFill="1"/>
    <xf numFmtId="4" fontId="6" fillId="3" borderId="0" xfId="0" applyNumberFormat="1" applyFont="1" applyFill="1"/>
    <xf numFmtId="0" fontId="6" fillId="3" borderId="0" xfId="0" applyFont="1" applyFill="1" applyAlignment="1">
      <alignment wrapText="1"/>
    </xf>
    <xf numFmtId="0" fontId="48" fillId="3" borderId="0" xfId="0" applyFont="1" applyFill="1"/>
    <xf numFmtId="0" fontId="6" fillId="3" borderId="0" xfId="0" applyFont="1" applyFill="1" applyAlignment="1">
      <alignment horizontal="left" wrapText="1"/>
    </xf>
    <xf numFmtId="0" fontId="39" fillId="4" borderId="1" xfId="0" applyFont="1" applyFill="1" applyBorder="1" applyProtection="1">
      <protection locked="0"/>
    </xf>
    <xf numFmtId="0" fontId="38" fillId="3" borderId="0" xfId="0" applyFont="1" applyFill="1" applyAlignment="1">
      <alignment horizontal="right"/>
    </xf>
    <xf numFmtId="0" fontId="6" fillId="3" borderId="0" xfId="0" applyFont="1" applyFill="1" applyAlignment="1">
      <alignment horizontal="left"/>
    </xf>
    <xf numFmtId="0" fontId="6" fillId="3" borderId="0" xfId="0" applyFont="1" applyFill="1" applyAlignment="1">
      <alignment horizontal="right"/>
    </xf>
    <xf numFmtId="0" fontId="38" fillId="3" borderId="0" xfId="0" applyFont="1" applyFill="1" applyAlignment="1">
      <alignment horizontal="left"/>
    </xf>
    <xf numFmtId="0" fontId="51" fillId="3" borderId="0" xfId="0" applyFont="1" applyFill="1"/>
    <xf numFmtId="0" fontId="42" fillId="3" borderId="0" xfId="0" applyFont="1" applyFill="1"/>
    <xf numFmtId="0" fontId="51" fillId="3" borderId="0" xfId="0" applyFont="1" applyFill="1" applyAlignment="1">
      <alignment vertical="top" wrapText="1"/>
    </xf>
    <xf numFmtId="0" fontId="53" fillId="3" borderId="0" xfId="0" applyFont="1" applyFill="1"/>
    <xf numFmtId="0" fontId="54" fillId="3" borderId="0" xfId="0" applyFont="1" applyFill="1" applyAlignment="1">
      <alignment wrapText="1"/>
    </xf>
    <xf numFmtId="0" fontId="55" fillId="3" borderId="0" xfId="0" applyFont="1" applyFill="1"/>
    <xf numFmtId="0" fontId="40" fillId="3" borderId="0" xfId="0" applyFont="1" applyFill="1"/>
    <xf numFmtId="0" fontId="40" fillId="3" borderId="0" xfId="0" applyFont="1" applyFill="1" applyAlignment="1">
      <alignment vertical="top" wrapText="1"/>
    </xf>
    <xf numFmtId="0" fontId="50" fillId="3" borderId="0" xfId="0" applyFont="1" applyFill="1"/>
    <xf numFmtId="0" fontId="6" fillId="3" borderId="0" xfId="0" applyFont="1" applyFill="1" applyAlignment="1">
      <alignment vertical="top"/>
    </xf>
    <xf numFmtId="0" fontId="51" fillId="3" borderId="0" xfId="0" applyFont="1" applyFill="1" applyAlignment="1">
      <alignment vertical="top"/>
    </xf>
    <xf numFmtId="0" fontId="57" fillId="3" borderId="0" xfId="0" applyFont="1" applyFill="1"/>
    <xf numFmtId="0" fontId="39" fillId="3" borderId="0" xfId="0" applyFont="1" applyFill="1" applyAlignment="1">
      <alignment horizontal="right"/>
    </xf>
    <xf numFmtId="0" fontId="39" fillId="3" borderId="0" xfId="0" applyFont="1" applyFill="1"/>
    <xf numFmtId="0" fontId="59" fillId="3" borderId="0" xfId="0" applyFont="1" applyFill="1"/>
    <xf numFmtId="0" fontId="0" fillId="3" borderId="5" xfId="0" applyFill="1" applyBorder="1"/>
    <xf numFmtId="0" fontId="0" fillId="3" borderId="6" xfId="0" applyFill="1" applyBorder="1"/>
    <xf numFmtId="4" fontId="0" fillId="3" borderId="6" xfId="0" applyNumberFormat="1" applyFill="1" applyBorder="1"/>
    <xf numFmtId="0" fontId="0" fillId="3" borderId="7" xfId="0" applyFill="1" applyBorder="1"/>
    <xf numFmtId="4" fontId="0" fillId="3" borderId="7" xfId="0" applyNumberFormat="1" applyFill="1" applyBorder="1"/>
    <xf numFmtId="0" fontId="0" fillId="3" borderId="7" xfId="0" applyFill="1" applyBorder="1" applyAlignment="1">
      <alignment vertical="center"/>
    </xf>
    <xf numFmtId="0" fontId="0" fillId="3" borderId="6" xfId="0" applyFill="1" applyBorder="1" applyAlignment="1">
      <alignment vertical="center"/>
    </xf>
    <xf numFmtId="0" fontId="0" fillId="3" borderId="5" xfId="0" applyFill="1" applyBorder="1" applyAlignment="1">
      <alignment vertical="center"/>
    </xf>
    <xf numFmtId="4" fontId="0" fillId="3" borderId="7" xfId="0" applyNumberFormat="1" applyFill="1" applyBorder="1" applyAlignment="1">
      <alignment vertical="center"/>
    </xf>
    <xf numFmtId="4" fontId="0" fillId="3" borderId="6" xfId="0" applyNumberFormat="1" applyFill="1" applyBorder="1" applyAlignment="1">
      <alignment vertical="center"/>
    </xf>
    <xf numFmtId="4" fontId="0" fillId="3" borderId="5" xfId="0" applyNumberFormat="1" applyFill="1" applyBorder="1" applyAlignment="1">
      <alignment vertical="center"/>
    </xf>
    <xf numFmtId="1" fontId="0" fillId="3" borderId="6" xfId="0" applyNumberFormat="1" applyFill="1" applyBorder="1" applyAlignment="1">
      <alignment horizontal="right"/>
    </xf>
    <xf numFmtId="4" fontId="0" fillId="3" borderId="0" xfId="0" applyNumberFormat="1" applyFill="1" applyAlignment="1">
      <alignment vertical="center"/>
    </xf>
    <xf numFmtId="0" fontId="60" fillId="3" borderId="0" xfId="0" applyFont="1" applyFill="1"/>
    <xf numFmtId="4" fontId="60" fillId="3" borderId="0" xfId="0" applyNumberFormat="1" applyFont="1" applyFill="1"/>
    <xf numFmtId="0" fontId="61" fillId="3" borderId="0" xfId="0" applyFont="1" applyFill="1"/>
    <xf numFmtId="0" fontId="61" fillId="3" borderId="0" xfId="0" applyFont="1" applyFill="1" applyAlignment="1">
      <alignment vertical="center"/>
    </xf>
    <xf numFmtId="0" fontId="61" fillId="3" borderId="0" xfId="0" applyFont="1" applyFill="1" applyAlignment="1">
      <alignment horizontal="right"/>
    </xf>
    <xf numFmtId="1" fontId="0" fillId="3" borderId="7" xfId="0" applyNumberFormat="1" applyFill="1" applyBorder="1" applyAlignment="1">
      <alignment horizontal="right"/>
    </xf>
    <xf numFmtId="1" fontId="0" fillId="3" borderId="5" xfId="0" applyNumberFormat="1" applyFill="1" applyBorder="1" applyAlignment="1">
      <alignment horizontal="right"/>
    </xf>
    <xf numFmtId="0" fontId="61" fillId="3" borderId="5" xfId="0" applyFont="1" applyFill="1" applyBorder="1"/>
    <xf numFmtId="0" fontId="37" fillId="0" borderId="0" xfId="0" applyFont="1"/>
    <xf numFmtId="0" fontId="51" fillId="3" borderId="0" xfId="0" applyFont="1" applyFill="1" applyAlignment="1">
      <alignment horizontal="center" vertical="center" wrapText="1"/>
    </xf>
    <xf numFmtId="2" fontId="6" fillId="3" borderId="1" xfId="0" applyNumberFormat="1" applyFont="1" applyFill="1" applyBorder="1"/>
    <xf numFmtId="0" fontId="20" fillId="6" borderId="0" xfId="0" applyFont="1" applyFill="1"/>
    <xf numFmtId="0" fontId="5" fillId="3" borderId="0" xfId="0" applyFont="1" applyFill="1"/>
    <xf numFmtId="0" fontId="64" fillId="3" borderId="0" xfId="0" applyFont="1" applyFill="1"/>
    <xf numFmtId="0" fontId="35" fillId="3" borderId="0" xfId="0" applyFont="1" applyFill="1"/>
    <xf numFmtId="0" fontId="35" fillId="4" borderId="0" xfId="0" applyFont="1" applyFill="1" applyProtection="1">
      <protection locked="0"/>
    </xf>
    <xf numFmtId="0" fontId="4" fillId="3" borderId="0" xfId="0" applyFont="1" applyFill="1" applyAlignment="1">
      <alignment vertical="center" wrapText="1"/>
    </xf>
    <xf numFmtId="0" fontId="4" fillId="3" borderId="0" xfId="0" applyFont="1" applyFill="1" applyAlignment="1">
      <alignment vertical="center"/>
    </xf>
    <xf numFmtId="0" fontId="12" fillId="5" borderId="0" xfId="0" applyFont="1" applyFill="1" applyAlignment="1">
      <alignment horizontal="right" vertical="center" wrapText="1"/>
    </xf>
    <xf numFmtId="0" fontId="12" fillId="5" borderId="0" xfId="0" applyFont="1" applyFill="1" applyAlignment="1">
      <alignment horizontal="right" vertical="top"/>
    </xf>
    <xf numFmtId="0" fontId="20" fillId="5" borderId="0" xfId="0" applyFont="1" applyFill="1" applyAlignment="1">
      <alignment horizontal="left"/>
    </xf>
    <xf numFmtId="0" fontId="19" fillId="5" borderId="0" xfId="0" applyFont="1" applyFill="1"/>
    <xf numFmtId="0" fontId="0" fillId="5" borderId="0" xfId="0" applyFill="1" applyAlignment="1">
      <alignment horizontal="left"/>
    </xf>
    <xf numFmtId="0" fontId="0" fillId="5" borderId="0" xfId="0" applyFill="1" applyAlignment="1">
      <alignment horizontal="right" vertical="center" wrapText="1"/>
    </xf>
    <xf numFmtId="0" fontId="0" fillId="5" borderId="0" xfId="0" applyFill="1" applyAlignment="1">
      <alignment horizontal="right" vertical="top"/>
    </xf>
    <xf numFmtId="0" fontId="13" fillId="5" borderId="0" xfId="0" applyFont="1" applyFill="1"/>
    <xf numFmtId="0" fontId="19" fillId="5" borderId="0" xfId="0" applyFont="1" applyFill="1" applyAlignment="1">
      <alignment horizontal="left"/>
    </xf>
    <xf numFmtId="0" fontId="19" fillId="5" borderId="0" xfId="0" applyFont="1" applyFill="1" applyAlignment="1">
      <alignment horizontal="right"/>
    </xf>
    <xf numFmtId="0" fontId="27" fillId="5" borderId="0" xfId="0" applyFont="1" applyFill="1"/>
    <xf numFmtId="0" fontId="25" fillId="5" borderId="0" xfId="0" applyFont="1" applyFill="1"/>
    <xf numFmtId="2" fontId="6" fillId="3" borderId="0" xfId="0" applyNumberFormat="1" applyFont="1" applyFill="1"/>
    <xf numFmtId="2" fontId="0" fillId="3" borderId="1" xfId="0" applyNumberFormat="1" applyFill="1" applyBorder="1"/>
    <xf numFmtId="0" fontId="4" fillId="3" borderId="0" xfId="0" applyFont="1" applyFill="1"/>
    <xf numFmtId="0" fontId="0" fillId="5" borderId="0" xfId="0" applyFill="1" applyAlignment="1">
      <alignment wrapText="1"/>
    </xf>
    <xf numFmtId="2" fontId="0" fillId="3" borderId="0" xfId="0" applyNumberFormat="1" applyFill="1"/>
    <xf numFmtId="4" fontId="55" fillId="3" borderId="1" xfId="0" applyNumberFormat="1" applyFont="1" applyFill="1" applyBorder="1"/>
    <xf numFmtId="0" fontId="6" fillId="0" borderId="1" xfId="0" applyFont="1" applyBorder="1"/>
    <xf numFmtId="0" fontId="0" fillId="3" borderId="7" xfId="0" applyFill="1" applyBorder="1" applyAlignment="1">
      <alignment horizontal="right" vertical="center"/>
    </xf>
    <xf numFmtId="0" fontId="70" fillId="3" borderId="0" xfId="1" applyFont="1" applyFill="1"/>
    <xf numFmtId="0" fontId="71" fillId="3" borderId="0" xfId="0" applyFont="1" applyFill="1"/>
    <xf numFmtId="1" fontId="35" fillId="3" borderId="0" xfId="0" applyNumberFormat="1" applyFont="1" applyFill="1" applyProtection="1">
      <protection locked="0"/>
    </xf>
    <xf numFmtId="0" fontId="3" fillId="3" borderId="0" xfId="0" applyFont="1" applyFill="1"/>
    <xf numFmtId="0" fontId="0" fillId="6" borderId="0" xfId="0" applyFill="1"/>
    <xf numFmtId="0" fontId="12" fillId="5" borderId="0" xfId="0" applyFont="1" applyFill="1" applyAlignment="1">
      <alignment vertical="top"/>
    </xf>
    <xf numFmtId="0" fontId="0" fillId="7" borderId="0" xfId="0" applyFill="1"/>
    <xf numFmtId="0" fontId="19" fillId="7" borderId="0" xfId="0" applyFont="1" applyFill="1"/>
    <xf numFmtId="0" fontId="0" fillId="0" borderId="0" xfId="0" applyAlignment="1">
      <alignment horizontal="left"/>
    </xf>
    <xf numFmtId="0" fontId="72" fillId="3" borderId="0" xfId="0" applyFont="1" applyFill="1"/>
    <xf numFmtId="0" fontId="2" fillId="3" borderId="0" xfId="0" applyFont="1" applyFill="1" applyAlignment="1">
      <alignment wrapText="1"/>
    </xf>
    <xf numFmtId="0" fontId="12" fillId="5" borderId="0" xfId="0" applyFont="1" applyFill="1" applyAlignment="1">
      <alignment horizontal="right" wrapText="1"/>
    </xf>
    <xf numFmtId="0" fontId="40" fillId="3" borderId="0" xfId="0" applyFont="1" applyFill="1" applyAlignment="1">
      <alignment vertical="top"/>
    </xf>
    <xf numFmtId="0" fontId="39" fillId="3" borderId="0" xfId="0" applyFont="1" applyFill="1" applyProtection="1">
      <protection locked="0"/>
    </xf>
    <xf numFmtId="0" fontId="6" fillId="3" borderId="0" xfId="0" applyFont="1" applyFill="1" applyAlignment="1">
      <alignment vertical="center" wrapText="1"/>
    </xf>
    <xf numFmtId="0" fontId="6" fillId="3" borderId="0" xfId="0" applyFont="1" applyFill="1" applyAlignment="1">
      <alignment wrapText="1"/>
    </xf>
    <xf numFmtId="0" fontId="20" fillId="3" borderId="0" xfId="0" applyFont="1" applyFill="1" applyAlignment="1">
      <alignment vertical="center" wrapText="1"/>
    </xf>
    <xf numFmtId="0" fontId="20" fillId="3" borderId="0" xfId="0" applyFont="1" applyFill="1" applyAlignment="1">
      <alignment wrapText="1"/>
    </xf>
    <xf numFmtId="0" fontId="9" fillId="3" borderId="0" xfId="0" applyFont="1" applyFill="1" applyAlignment="1">
      <alignment vertical="center" wrapText="1"/>
    </xf>
    <xf numFmtId="0" fontId="0" fillId="3" borderId="0" xfId="0" applyFill="1" applyAlignment="1">
      <alignment wrapText="1"/>
    </xf>
    <xf numFmtId="0" fontId="6" fillId="3" borderId="0" xfId="0" applyFont="1" applyFill="1" applyAlignment="1">
      <alignment vertical="top" wrapText="1"/>
    </xf>
    <xf numFmtId="0" fontId="6" fillId="0" borderId="0" xfId="0" applyFont="1" applyAlignment="1">
      <alignment wrapText="1"/>
    </xf>
    <xf numFmtId="0" fontId="51" fillId="3" borderId="0" xfId="0" applyFont="1" applyFill="1" applyAlignment="1">
      <alignment vertical="top" wrapText="1"/>
    </xf>
    <xf numFmtId="0" fontId="44" fillId="3" borderId="0" xfId="0" applyFont="1" applyFill="1" applyAlignment="1">
      <alignment vertical="center" wrapText="1"/>
    </xf>
    <xf numFmtId="0" fontId="12" fillId="3" borderId="0" xfId="0" applyFont="1" applyFill="1" applyAlignment="1">
      <alignment wrapText="1"/>
    </xf>
    <xf numFmtId="0" fontId="0" fillId="0" borderId="0" xfId="0" applyAlignment="1">
      <alignment wrapText="1"/>
    </xf>
    <xf numFmtId="0" fontId="0" fillId="0" borderId="0" xfId="0"/>
    <xf numFmtId="0" fontId="51" fillId="3" borderId="2"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20" fillId="3" borderId="0" xfId="0" applyFont="1" applyFill="1" applyAlignment="1">
      <alignment vertical="top" wrapText="1"/>
    </xf>
    <xf numFmtId="0" fontId="0" fillId="3" borderId="0" xfId="0" applyFill="1" applyAlignment="1">
      <alignment vertical="top" wrapText="1"/>
    </xf>
    <xf numFmtId="0" fontId="11" fillId="3" borderId="0" xfId="1" applyFont="1" applyFill="1" applyAlignment="1" applyProtection="1">
      <alignment horizontal="left" vertical="center" wrapText="1"/>
    </xf>
    <xf numFmtId="0" fontId="0" fillId="3" borderId="0" xfId="0" applyFill="1" applyAlignment="1">
      <alignment vertical="center"/>
    </xf>
    <xf numFmtId="0" fontId="40" fillId="3" borderId="0" xfId="0" applyFont="1" applyFill="1" applyAlignment="1">
      <alignment vertical="top" wrapText="1"/>
    </xf>
    <xf numFmtId="0" fontId="4" fillId="3" borderId="0" xfId="0" applyFont="1" applyFill="1" applyAlignment="1">
      <alignment wrapText="1"/>
    </xf>
    <xf numFmtId="0" fontId="4" fillId="0" borderId="0" xfId="0" applyFont="1" applyAlignment="1">
      <alignment wrapText="1"/>
    </xf>
    <xf numFmtId="0" fontId="0" fillId="0" borderId="0" xfId="0" applyAlignment="1">
      <alignment vertical="top" wrapText="1"/>
    </xf>
    <xf numFmtId="0" fontId="12" fillId="0" borderId="0" xfId="0" applyFont="1" applyAlignment="1">
      <alignment wrapText="1"/>
    </xf>
    <xf numFmtId="0" fontId="12" fillId="0" borderId="0" xfId="0" applyFont="1"/>
  </cellXfs>
  <cellStyles count="2">
    <cellStyle name="Hyperlink" xfId="1" builtinId="8"/>
    <cellStyle name="Standaard" xfId="0" builtinId="0"/>
  </cellStyles>
  <dxfs count="3">
    <dxf>
      <font>
        <color rgb="FFF8F8F8"/>
      </font>
      <fill>
        <patternFill>
          <bgColor rgb="FFF8F8F8"/>
        </patternFill>
      </fill>
    </dxf>
    <dxf>
      <fill>
        <patternFill>
          <bgColor rgb="FFF8F8F8"/>
        </patternFill>
      </fill>
      <border>
        <left/>
        <right/>
        <top/>
        <bottom/>
        <vertical/>
        <horizontal/>
      </border>
    </dxf>
    <dxf>
      <fill>
        <patternFill>
          <bgColor rgb="FFF8F8F8"/>
        </patternFill>
      </fill>
    </dxf>
  </dxfs>
  <tableStyles count="0" defaultTableStyle="TableStyleMedium2" defaultPivotStyle="PivotStyleLight16"/>
  <colors>
    <mruColors>
      <color rgb="FF92D050"/>
      <color rgb="FFF8F8F8"/>
      <color rgb="FFFFB612"/>
      <color rgb="FFD4351C"/>
      <color rgb="FFC00000"/>
      <color rgb="FF007BC7"/>
      <color rgb="FF8FCAE7"/>
      <color rgb="FFFFE9B7"/>
      <color rgb="FFEEF7FB"/>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Hulpblad!$B$13"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checked="Checked" firstButton="1" fmlaLink="Hulpblad!$B$134"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fmlaLink="Hulpblad!$B$146"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checked="Checked" firstButton="1" fmlaLink="Hulpblad!$B$158"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Hulpblad!$B$49"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CheckBox" fmlaLink="Hulpblad!$B$84"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firstButton="1" fmlaLink="Hulpblad!$B$25"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checked="Checked" firstButton="1" fmlaLink="Hulpblad!$B$31"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firstButton="1" fmlaLink="Hulpblad!$B$73" lockText="1" noThreeD="1"/>
</file>

<file path=xl/ctrlProps/ctrlProp13.xml><?xml version="1.0" encoding="utf-8"?>
<formControlPr xmlns="http://schemas.microsoft.com/office/spreadsheetml/2009/9/main" objectType="Radio" checked="Checked" firstButton="1" fmlaLink="Hulpblad!$B$55"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checked="Checked" firstButton="1" fmlaLink="Hulpblad!$B$79"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CheckBox" fmlaLink="Hulpblad!$B$85" lockText="1" noThreeD="1"/>
</file>

<file path=xl/ctrlProps/ctrlProp138.xml><?xml version="1.0" encoding="utf-8"?>
<formControlPr xmlns="http://schemas.microsoft.com/office/spreadsheetml/2009/9/main" objectType="CheckBox" fmlaLink="Hulpblad!$B$89" lockText="1" noThreeD="1"/>
</file>

<file path=xl/ctrlProps/ctrlProp139.xml><?xml version="1.0" encoding="utf-8"?>
<formControlPr xmlns="http://schemas.microsoft.com/office/spreadsheetml/2009/9/main" objectType="CheckBox" fmlaLink="Hulpblad!$C$100"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Hulpblad!$C$101" lockText="1" noThreeD="1"/>
</file>

<file path=xl/ctrlProps/ctrlProp141.xml><?xml version="1.0" encoding="utf-8"?>
<formControlPr xmlns="http://schemas.microsoft.com/office/spreadsheetml/2009/9/main" objectType="CheckBox" fmlaLink="Hulpblad!$C$112" lockText="1" noThreeD="1"/>
</file>

<file path=xl/ctrlProps/ctrlProp142.xml><?xml version="1.0" encoding="utf-8"?>
<formControlPr xmlns="http://schemas.microsoft.com/office/spreadsheetml/2009/9/main" objectType="CheckBox" fmlaLink="Hulpblad!$C$113" lockText="1" noThreeD="1"/>
</file>

<file path=xl/ctrlProps/ctrlProp143.xml><?xml version="1.0" encoding="utf-8"?>
<formControlPr xmlns="http://schemas.microsoft.com/office/spreadsheetml/2009/9/main" objectType="CheckBox" fmlaLink="Hulpblad!$C$124" lockText="1" noThreeD="1"/>
</file>

<file path=xl/ctrlProps/ctrlProp144.xml><?xml version="1.0" encoding="utf-8"?>
<formControlPr xmlns="http://schemas.microsoft.com/office/spreadsheetml/2009/9/main" objectType="CheckBox" fmlaLink="Hulpblad!$C$125" lockText="1" noThreeD="1"/>
</file>

<file path=xl/ctrlProps/ctrlProp145.xml><?xml version="1.0" encoding="utf-8"?>
<formControlPr xmlns="http://schemas.microsoft.com/office/spreadsheetml/2009/9/main" objectType="CheckBox" fmlaLink="Hulpblad!$C$136" lockText="1" noThreeD="1"/>
</file>

<file path=xl/ctrlProps/ctrlProp146.xml><?xml version="1.0" encoding="utf-8"?>
<formControlPr xmlns="http://schemas.microsoft.com/office/spreadsheetml/2009/9/main" objectType="CheckBox" fmlaLink="Hulpblad!$C$137" lockText="1" noThreeD="1"/>
</file>

<file path=xl/ctrlProps/ctrlProp147.xml><?xml version="1.0" encoding="utf-8"?>
<formControlPr xmlns="http://schemas.microsoft.com/office/spreadsheetml/2009/9/main" objectType="CheckBox" fmlaLink="Hulpblad!$C$148" lockText="1" noThreeD="1"/>
</file>

<file path=xl/ctrlProps/ctrlProp148.xml><?xml version="1.0" encoding="utf-8"?>
<formControlPr xmlns="http://schemas.microsoft.com/office/spreadsheetml/2009/9/main" objectType="CheckBox" fmlaLink="Hulpblad!$C$149" lockText="1" noThreeD="1"/>
</file>

<file path=xl/ctrlProps/ctrlProp149.xml><?xml version="1.0" encoding="utf-8"?>
<formControlPr xmlns="http://schemas.microsoft.com/office/spreadsheetml/2009/9/main" objectType="CheckBox" fmlaLink="Hulpblad!$C$160" lockText="1" noThreeD="1"/>
</file>

<file path=xl/ctrlProps/ctrlProp15.xml><?xml version="1.0" encoding="utf-8"?>
<formControlPr xmlns="http://schemas.microsoft.com/office/spreadsheetml/2009/9/main" objectType="Radio" checked="Checked" firstButton="1" fmlaLink="Hulpblad!$B$61" lockText="1" noThreeD="1"/>
</file>

<file path=xl/ctrlProps/ctrlProp150.xml><?xml version="1.0" encoding="utf-8"?>
<formControlPr xmlns="http://schemas.microsoft.com/office/spreadsheetml/2009/9/main" objectType="CheckBox" fmlaLink="Hulpblad!$C$161"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Hulpblad!$B$67"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fmlaLink="Hulpblad!$B$205"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checked="Checked" firstButton="1" fmlaLink="Hulpblad!$B$213"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Hulpblad!$B$4"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Hulpblad!$B$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CheckBox" fmlaLink="Hulpblad!$B$86" lockText="1" noThreeD="1"/>
</file>

<file path=xl/ctrlProps/ctrlProp53.xml><?xml version="1.0" encoding="utf-8"?>
<formControlPr xmlns="http://schemas.microsoft.com/office/spreadsheetml/2009/9/main" objectType="CheckBox" fmlaLink="Hulpblad!$B$87" lockText="1" noThreeD="1"/>
</file>

<file path=xl/ctrlProps/ctrlProp54.xml><?xml version="1.0" encoding="utf-8"?>
<formControlPr xmlns="http://schemas.microsoft.com/office/spreadsheetml/2009/9/main" objectType="CheckBox" fmlaLink="Hulpblad!$B$88" lockText="1" noThreeD="1"/>
</file>

<file path=xl/ctrlProps/ctrlProp55.xml><?xml version="1.0" encoding="utf-8"?>
<formControlPr xmlns="http://schemas.microsoft.com/office/spreadsheetml/2009/9/main" objectType="Radio" checked="Checked" firstButton="1" fmlaLink="Hulpblad!$B$220"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firstButton="1" fmlaLink="Hulpblad!$B$236" lockText="1" noThreeD="1"/>
</file>

<file path=xl/ctrlProps/ctrlProp6.xml><?xml version="1.0" encoding="utf-8"?>
<formControlPr xmlns="http://schemas.microsoft.com/office/spreadsheetml/2009/9/main" objectType="Radio" checked="Checked" firstButton="1" fmlaLink="Hulpblad!B37"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fmlaLink="Hulpblad!$B$24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fmlaLink="Hulpblad!$B$254"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fmlaLink="Hulpblad!$B$242"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checked="Checked" firstButton="1" fmlaLink="Hulpblad!$B$262"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firstButton="1" fmlaLink="Hulpblad!$E$262" lockText="1" noThreeD="1"/>
</file>

<file path=xl/ctrlProps/ctrlProp8.xml><?xml version="1.0" encoding="utf-8"?>
<formControlPr xmlns="http://schemas.microsoft.com/office/spreadsheetml/2009/9/main" objectType="Radio" checked="Checked" firstButton="1" fmlaLink="Hulpblad!$B$43"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Hulpblad!$H$262"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checked="Checked" firstButton="1" fmlaLink="Hulpblad!$K$262"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checked="Checked" firstButton="1" fmlaLink="Hulpblad!$B$9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checked="Checked" firstButton="1" fmlaLink="Hulpblad!$B98"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checked="Checked" firstButton="1" fmlaLink="Hulpblad!$B$110"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fmlaLink="Hulpblad!$B$122"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1693832</xdr:colOff>
      <xdr:row>0</xdr:row>
      <xdr:rowOff>0</xdr:rowOff>
    </xdr:from>
    <xdr:to>
      <xdr:col>12</xdr:col>
      <xdr:colOff>676290</xdr:colOff>
      <xdr:row>1</xdr:row>
      <xdr:rowOff>9484</xdr:rowOff>
    </xdr:to>
    <xdr:pic>
      <xdr:nvPicPr>
        <xdr:cNvPr id="3" name="Afbeelding 2" descr="Logo Rijksdienst voor Ondernemend Nederland">
          <a:extLst>
            <a:ext uri="{FF2B5EF4-FFF2-40B4-BE49-F238E27FC236}">
              <a16:creationId xmlns:a16="http://schemas.microsoft.com/office/drawing/2014/main" id="{00000000-0008-0000-0000-00000300000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4620605" y="0"/>
          <a:ext cx="8137426" cy="17326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28</xdr:row>
          <xdr:rowOff>0</xdr:rowOff>
        </xdr:from>
        <xdr:to>
          <xdr:col>2</xdr:col>
          <xdr:colOff>2266950</xdr:colOff>
          <xdr:row>28</xdr:row>
          <xdr:rowOff>180975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2695575</xdr:colOff>
          <xdr:row>30</xdr:row>
          <xdr:rowOff>104775</xdr:rowOff>
        </xdr:to>
        <xdr:sp macro="" textlink="">
          <xdr:nvSpPr>
            <xdr:cNvPr id="1136" name="Group Box 112" descr="Dakisolatie"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285750</xdr:rowOff>
        </xdr:from>
        <xdr:to>
          <xdr:col>2</xdr:col>
          <xdr:colOff>2695575</xdr:colOff>
          <xdr:row>21</xdr:row>
          <xdr:rowOff>47625</xdr:rowOff>
        </xdr:to>
        <xdr:sp macro="" textlink="">
          <xdr:nvSpPr>
            <xdr:cNvPr id="1141" name="Group Box 117" descr="Dakisolatie"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Opgave eerder ontvangen ISDE-subsidie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2352675</xdr:colOff>
          <xdr:row>18</xdr:row>
          <xdr:rowOff>190500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 ik heb niet eerder ISDE-subsidie ontvangen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171450</xdr:rowOff>
        </xdr:from>
        <xdr:to>
          <xdr:col>4</xdr:col>
          <xdr:colOff>2495550</xdr:colOff>
          <xdr:row>29</xdr:row>
          <xdr:rowOff>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9525</xdr:rowOff>
        </xdr:from>
        <xdr:to>
          <xdr:col>2</xdr:col>
          <xdr:colOff>2324100</xdr:colOff>
          <xdr:row>41</xdr:row>
          <xdr:rowOff>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2695575</xdr:colOff>
          <xdr:row>42</xdr:row>
          <xdr:rowOff>85725</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171450</xdr:rowOff>
        </xdr:from>
        <xdr:to>
          <xdr:col>4</xdr:col>
          <xdr:colOff>2390775</xdr:colOff>
          <xdr:row>41</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0</xdr:rowOff>
        </xdr:from>
        <xdr:to>
          <xdr:col>4</xdr:col>
          <xdr:colOff>2705100</xdr:colOff>
          <xdr:row>32</xdr:row>
          <xdr:rowOff>38100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2695575</xdr:colOff>
          <xdr:row>44</xdr:row>
          <xdr:rowOff>47625</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180975</xdr:rowOff>
        </xdr:from>
        <xdr:to>
          <xdr:col>2</xdr:col>
          <xdr:colOff>2428875</xdr:colOff>
          <xdr:row>47</xdr:row>
          <xdr:rowOff>19050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2</xdr:col>
          <xdr:colOff>2695575</xdr:colOff>
          <xdr:row>48</xdr:row>
          <xdr:rowOff>104775</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180975</xdr:rowOff>
        </xdr:from>
        <xdr:to>
          <xdr:col>4</xdr:col>
          <xdr:colOff>2505075</xdr:colOff>
          <xdr:row>47</xdr:row>
          <xdr:rowOff>9525</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2695575</xdr:colOff>
          <xdr:row>50</xdr:row>
          <xdr:rowOff>47625</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180975</xdr:rowOff>
        </xdr:from>
        <xdr:to>
          <xdr:col>2</xdr:col>
          <xdr:colOff>2295525</xdr:colOff>
          <xdr:row>53</xdr:row>
          <xdr:rowOff>9525</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2</xdr:col>
          <xdr:colOff>2695575</xdr:colOff>
          <xdr:row>54</xdr:row>
          <xdr:rowOff>104775</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51</xdr:row>
          <xdr:rowOff>171450</xdr:rowOff>
        </xdr:from>
        <xdr:to>
          <xdr:col>4</xdr:col>
          <xdr:colOff>2409825</xdr:colOff>
          <xdr:row>53</xdr:row>
          <xdr:rowOff>9525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2695575</xdr:colOff>
          <xdr:row>56</xdr:row>
          <xdr:rowOff>47625</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120</xdr:row>
          <xdr:rowOff>171450</xdr:rowOff>
        </xdr:from>
        <xdr:to>
          <xdr:col>2</xdr:col>
          <xdr:colOff>2447925</xdr:colOff>
          <xdr:row>122</xdr:row>
          <xdr:rowOff>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0</xdr:rowOff>
        </xdr:from>
        <xdr:to>
          <xdr:col>2</xdr:col>
          <xdr:colOff>2695575</xdr:colOff>
          <xdr:row>133</xdr:row>
          <xdr:rowOff>66675</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Soort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121</xdr:row>
          <xdr:rowOff>171450</xdr:rowOff>
        </xdr:from>
        <xdr:to>
          <xdr:col>2</xdr:col>
          <xdr:colOff>2371725</xdr:colOff>
          <xdr:row>123</xdr:row>
          <xdr:rowOff>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122</xdr:row>
          <xdr:rowOff>171450</xdr:rowOff>
        </xdr:from>
        <xdr:to>
          <xdr:col>2</xdr:col>
          <xdr:colOff>2457450</xdr:colOff>
          <xdr:row>124</xdr:row>
          <xdr:rowOff>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 1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123</xdr:row>
          <xdr:rowOff>171450</xdr:rowOff>
        </xdr:from>
        <xdr:to>
          <xdr:col>2</xdr:col>
          <xdr:colOff>2466975</xdr:colOff>
          <xdr:row>125</xdr:row>
          <xdr:rowOff>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124</xdr:row>
          <xdr:rowOff>171450</xdr:rowOff>
        </xdr:from>
        <xdr:to>
          <xdr:col>2</xdr:col>
          <xdr:colOff>2390775</xdr:colOff>
          <xdr:row>126</xdr:row>
          <xdr:rowOff>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125</xdr:row>
          <xdr:rowOff>171450</xdr:rowOff>
        </xdr:from>
        <xdr:to>
          <xdr:col>2</xdr:col>
          <xdr:colOff>2362200</xdr:colOff>
          <xdr:row>127</xdr:row>
          <xdr:rowOff>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1 kW en &lt; 10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126</xdr:row>
          <xdr:rowOff>171450</xdr:rowOff>
        </xdr:from>
        <xdr:to>
          <xdr:col>2</xdr:col>
          <xdr:colOff>2438400</xdr:colOff>
          <xdr:row>128</xdr:row>
          <xdr:rowOff>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10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127</xdr:row>
          <xdr:rowOff>171450</xdr:rowOff>
        </xdr:from>
        <xdr:to>
          <xdr:col>2</xdr:col>
          <xdr:colOff>2400300</xdr:colOff>
          <xdr:row>129</xdr:row>
          <xdr:rowOff>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128</xdr:row>
          <xdr:rowOff>171450</xdr:rowOff>
        </xdr:from>
        <xdr:to>
          <xdr:col>2</xdr:col>
          <xdr:colOff>2409825</xdr:colOff>
          <xdr:row>130</xdr:row>
          <xdr:rowOff>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129</xdr:row>
          <xdr:rowOff>171450</xdr:rowOff>
        </xdr:from>
        <xdr:to>
          <xdr:col>2</xdr:col>
          <xdr:colOff>2362200</xdr:colOff>
          <xdr:row>131</xdr:row>
          <xdr:rowOff>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1 kW en &lt; 10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130</xdr:row>
          <xdr:rowOff>171450</xdr:rowOff>
        </xdr:from>
        <xdr:to>
          <xdr:col>2</xdr:col>
          <xdr:colOff>2419350</xdr:colOff>
          <xdr:row>132</xdr:row>
          <xdr:rowOff>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10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131</xdr:row>
          <xdr:rowOff>171450</xdr:rowOff>
        </xdr:from>
        <xdr:to>
          <xdr:col>2</xdr:col>
          <xdr:colOff>2466975</xdr:colOff>
          <xdr:row>133</xdr:row>
          <xdr:rowOff>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135</xdr:row>
          <xdr:rowOff>180975</xdr:rowOff>
        </xdr:from>
        <xdr:to>
          <xdr:col>2</xdr:col>
          <xdr:colOff>2486025</xdr:colOff>
          <xdr:row>137</xdr:row>
          <xdr:rowOff>9525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136</xdr:row>
          <xdr:rowOff>180975</xdr:rowOff>
        </xdr:from>
        <xdr:to>
          <xdr:col>2</xdr:col>
          <xdr:colOff>2457450</xdr:colOff>
          <xdr:row>138</xdr:row>
          <xdr:rowOff>9525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 of hoger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137</xdr:row>
          <xdr:rowOff>180975</xdr:rowOff>
        </xdr:from>
        <xdr:to>
          <xdr:col>2</xdr:col>
          <xdr:colOff>2295525</xdr:colOff>
          <xdr:row>139</xdr:row>
          <xdr:rowOff>9525</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138</xdr:row>
          <xdr:rowOff>180975</xdr:rowOff>
        </xdr:from>
        <xdr:to>
          <xdr:col>2</xdr:col>
          <xdr:colOff>2390775</xdr:colOff>
          <xdr:row>140</xdr:row>
          <xdr:rowOff>9525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139</xdr:row>
          <xdr:rowOff>180975</xdr:rowOff>
        </xdr:from>
        <xdr:to>
          <xdr:col>2</xdr:col>
          <xdr:colOff>2286000</xdr:colOff>
          <xdr:row>141</xdr:row>
          <xdr:rowOff>9525</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 t/m 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135</xdr:row>
          <xdr:rowOff>57150</xdr:rowOff>
        </xdr:from>
        <xdr:to>
          <xdr:col>2</xdr:col>
          <xdr:colOff>2705100</xdr:colOff>
          <xdr:row>141</xdr:row>
          <xdr:rowOff>66675</xdr:rowOff>
        </xdr:to>
        <xdr:sp macro="" textlink="">
          <xdr:nvSpPr>
            <xdr:cNvPr id="1277" name="Group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Energie-efficiency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2</xdr:col>
          <xdr:colOff>2600325</xdr:colOff>
          <xdr:row>19</xdr:row>
          <xdr:rowOff>190500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 voor ISDE-maatregel(en) &gt; 24 maanden geleden uitgevoerd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2628900</xdr:colOff>
          <xdr:row>20</xdr:row>
          <xdr:rowOff>190500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 voor ISDE-maatregel(en) ≤ 24 maanden geleden uitgevoerd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0</xdr:rowOff>
        </xdr:from>
        <xdr:to>
          <xdr:col>2</xdr:col>
          <xdr:colOff>2362200</xdr:colOff>
          <xdr:row>29</xdr:row>
          <xdr:rowOff>180975</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Dakisolatie, RD ≥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171450</xdr:rowOff>
        </xdr:from>
        <xdr:to>
          <xdr:col>4</xdr:col>
          <xdr:colOff>2476500</xdr:colOff>
          <xdr:row>30</xdr:row>
          <xdr:rowOff>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171450</xdr:rowOff>
        </xdr:from>
        <xdr:to>
          <xdr:col>4</xdr:col>
          <xdr:colOff>2371725</xdr:colOff>
          <xdr:row>31</xdr:row>
          <xdr:rowOff>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9525</xdr:rowOff>
        </xdr:from>
        <xdr:to>
          <xdr:col>2</xdr:col>
          <xdr:colOff>2552700</xdr:colOff>
          <xdr:row>42</xdr:row>
          <xdr:rowOff>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Binnen-of buitengevelisolatie,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4</xdr:col>
          <xdr:colOff>2533650</xdr:colOff>
          <xdr:row>42</xdr:row>
          <xdr:rowOff>9525</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171450</xdr:rowOff>
        </xdr:from>
        <xdr:to>
          <xdr:col>4</xdr:col>
          <xdr:colOff>2571750</xdr:colOff>
          <xdr:row>43</xdr:row>
          <xdr:rowOff>9525</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2</xdr:col>
          <xdr:colOff>2486025</xdr:colOff>
          <xdr:row>48</xdr:row>
          <xdr:rowOff>19050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Spouwmuurisolatie, Rd ≥ 1,1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xdr:row>
          <xdr:rowOff>180975</xdr:rowOff>
        </xdr:from>
        <xdr:to>
          <xdr:col>4</xdr:col>
          <xdr:colOff>2600325</xdr:colOff>
          <xdr:row>48</xdr:row>
          <xdr:rowOff>9525</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180975</xdr:rowOff>
        </xdr:from>
        <xdr:to>
          <xdr:col>4</xdr:col>
          <xdr:colOff>2638425</xdr:colOff>
          <xdr:row>49</xdr:row>
          <xdr:rowOff>9525</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180975</xdr:rowOff>
        </xdr:from>
        <xdr:to>
          <xdr:col>2</xdr:col>
          <xdr:colOff>2162175</xdr:colOff>
          <xdr:row>54</xdr:row>
          <xdr:rowOff>9525</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Vloerisolatie,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52</xdr:row>
          <xdr:rowOff>171450</xdr:rowOff>
        </xdr:from>
        <xdr:to>
          <xdr:col>4</xdr:col>
          <xdr:colOff>2581275</xdr:colOff>
          <xdr:row>54</xdr:row>
          <xdr:rowOff>9525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53</xdr:row>
          <xdr:rowOff>171450</xdr:rowOff>
        </xdr:from>
        <xdr:to>
          <xdr:col>4</xdr:col>
          <xdr:colOff>2524125</xdr:colOff>
          <xdr:row>55</xdr:row>
          <xdr:rowOff>9525</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171450</xdr:rowOff>
        </xdr:from>
        <xdr:to>
          <xdr:col>2</xdr:col>
          <xdr:colOff>1962150</xdr:colOff>
          <xdr:row>71</xdr:row>
          <xdr:rowOff>28575</xdr:rowOff>
        </xdr:to>
        <xdr:sp macro="" textlink="">
          <xdr:nvSpPr>
            <xdr:cNvPr id="1312" name="Check Box 288" descr="Biobased"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Gevelisolatie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171450</xdr:rowOff>
        </xdr:from>
        <xdr:to>
          <xdr:col>2</xdr:col>
          <xdr:colOff>1962150</xdr:colOff>
          <xdr:row>73</xdr:row>
          <xdr:rowOff>28575</xdr:rowOff>
        </xdr:to>
        <xdr:sp macro="" textlink="">
          <xdr:nvSpPr>
            <xdr:cNvPr id="1314" name="Check Box 290" descr="Biobased"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Spouwmuurisolatie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171450</xdr:rowOff>
        </xdr:from>
        <xdr:to>
          <xdr:col>2</xdr:col>
          <xdr:colOff>1962150</xdr:colOff>
          <xdr:row>75</xdr:row>
          <xdr:rowOff>28575</xdr:rowOff>
        </xdr:to>
        <xdr:sp macro="" textlink="">
          <xdr:nvSpPr>
            <xdr:cNvPr id="1316" name="Check Box 292" descr="Biobased"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Vloerisolatie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180975</xdr:rowOff>
        </xdr:from>
        <xdr:to>
          <xdr:col>4</xdr:col>
          <xdr:colOff>2552700</xdr:colOff>
          <xdr:row>122</xdr:row>
          <xdr:rowOff>19050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180975</xdr:rowOff>
        </xdr:from>
        <xdr:to>
          <xdr:col>4</xdr:col>
          <xdr:colOff>2524125</xdr:colOff>
          <xdr:row>123</xdr:row>
          <xdr:rowOff>19050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2695575</xdr:colOff>
          <xdr:row>125</xdr:row>
          <xdr:rowOff>114300</xdr:rowOff>
        </xdr:to>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installatie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122</xdr:row>
          <xdr:rowOff>180975</xdr:rowOff>
        </xdr:from>
        <xdr:to>
          <xdr:col>4</xdr:col>
          <xdr:colOff>2552700</xdr:colOff>
          <xdr:row>124</xdr:row>
          <xdr:rowOff>19050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151</xdr:row>
          <xdr:rowOff>180975</xdr:rowOff>
        </xdr:from>
        <xdr:to>
          <xdr:col>2</xdr:col>
          <xdr:colOff>2228850</xdr:colOff>
          <xdr:row>153</xdr:row>
          <xdr:rowOff>9525</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152</xdr:row>
          <xdr:rowOff>180975</xdr:rowOff>
        </xdr:from>
        <xdr:to>
          <xdr:col>2</xdr:col>
          <xdr:colOff>2314575</xdr:colOff>
          <xdr:row>154</xdr:row>
          <xdr:rowOff>9525</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 ≤ 5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153</xdr:row>
          <xdr:rowOff>180975</xdr:rowOff>
        </xdr:from>
        <xdr:to>
          <xdr:col>2</xdr:col>
          <xdr:colOff>2181225</xdr:colOff>
          <xdr:row>155</xdr:row>
          <xdr:rowOff>9525</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 &gt; 5 en ≤ 10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154</xdr:row>
          <xdr:rowOff>180975</xdr:rowOff>
        </xdr:from>
        <xdr:to>
          <xdr:col>2</xdr:col>
          <xdr:colOff>2324100</xdr:colOff>
          <xdr:row>156</xdr:row>
          <xdr:rowOff>9525</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Zonneboilercombi ≤ 5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155</xdr:row>
          <xdr:rowOff>180975</xdr:rowOff>
        </xdr:from>
        <xdr:to>
          <xdr:col>2</xdr:col>
          <xdr:colOff>2333625</xdr:colOff>
          <xdr:row>157</xdr:row>
          <xdr:rowOff>9525</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Zonneboilercombi &gt; 5 en ≤ 10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151</xdr:row>
          <xdr:rowOff>0</xdr:rowOff>
        </xdr:from>
        <xdr:to>
          <xdr:col>2</xdr:col>
          <xdr:colOff>2705100</xdr:colOff>
          <xdr:row>157</xdr:row>
          <xdr:rowOff>76200</xdr:rowOff>
        </xdr:to>
        <xdr:sp macro="" textlink="">
          <xdr:nvSpPr>
            <xdr:cNvPr id="1327" name="Group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Soort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164</xdr:row>
          <xdr:rowOff>180975</xdr:rowOff>
        </xdr:from>
        <xdr:to>
          <xdr:col>2</xdr:col>
          <xdr:colOff>2409825</xdr:colOff>
          <xdr:row>166</xdr:row>
          <xdr:rowOff>9525</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aansluiting op een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165</xdr:row>
          <xdr:rowOff>180975</xdr:rowOff>
        </xdr:from>
        <xdr:to>
          <xdr:col>2</xdr:col>
          <xdr:colOff>2333625</xdr:colOff>
          <xdr:row>167</xdr:row>
          <xdr:rowOff>9525</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Aansluiting op een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164</xdr:row>
          <xdr:rowOff>9525</xdr:rowOff>
        </xdr:from>
        <xdr:to>
          <xdr:col>2</xdr:col>
          <xdr:colOff>2705100</xdr:colOff>
          <xdr:row>167</xdr:row>
          <xdr:rowOff>76200</xdr:rowOff>
        </xdr:to>
        <xdr:sp macro="" textlink="">
          <xdr:nvSpPr>
            <xdr:cNvPr id="1330" name="Group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164</xdr:row>
          <xdr:rowOff>180975</xdr:rowOff>
        </xdr:from>
        <xdr:to>
          <xdr:col>4</xdr:col>
          <xdr:colOff>2476500</xdr:colOff>
          <xdr:row>166</xdr:row>
          <xdr:rowOff>9525</xdr:rowOff>
        </xdr:to>
        <xdr:sp macro="" textlink="">
          <xdr:nvSpPr>
            <xdr:cNvPr id="1331" name="Option Button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165</xdr:row>
          <xdr:rowOff>180975</xdr:rowOff>
        </xdr:from>
        <xdr:to>
          <xdr:col>4</xdr:col>
          <xdr:colOff>2514600</xdr:colOff>
          <xdr:row>167</xdr:row>
          <xdr:rowOff>38100</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1 januari 2024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166</xdr:row>
          <xdr:rowOff>180975</xdr:rowOff>
        </xdr:from>
        <xdr:to>
          <xdr:col>4</xdr:col>
          <xdr:colOff>2495550</xdr:colOff>
          <xdr:row>168</xdr:row>
          <xdr:rowOff>9525</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2695575</xdr:colOff>
          <xdr:row>168</xdr:row>
          <xdr:rowOff>85725</xdr:rowOff>
        </xdr:to>
        <xdr:sp macro="" textlink="">
          <xdr:nvSpPr>
            <xdr:cNvPr id="1334" name="Group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152</xdr:row>
          <xdr:rowOff>0</xdr:rowOff>
        </xdr:from>
        <xdr:to>
          <xdr:col>4</xdr:col>
          <xdr:colOff>2524125</xdr:colOff>
          <xdr:row>153</xdr:row>
          <xdr:rowOff>19050</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153</xdr:row>
          <xdr:rowOff>0</xdr:rowOff>
        </xdr:from>
        <xdr:to>
          <xdr:col>4</xdr:col>
          <xdr:colOff>2600325</xdr:colOff>
          <xdr:row>154</xdr:row>
          <xdr:rowOff>19050</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1 januari 2024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154</xdr:row>
          <xdr:rowOff>0</xdr:rowOff>
        </xdr:from>
        <xdr:to>
          <xdr:col>4</xdr:col>
          <xdr:colOff>2562225</xdr:colOff>
          <xdr:row>155</xdr:row>
          <xdr:rowOff>19050</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2695575</xdr:colOff>
          <xdr:row>155</xdr:row>
          <xdr:rowOff>104775</xdr:rowOff>
        </xdr:to>
        <xdr:sp macro="" textlink="">
          <xdr:nvSpPr>
            <xdr:cNvPr id="1339" name="Group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installatie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171</xdr:row>
          <xdr:rowOff>142875</xdr:rowOff>
        </xdr:from>
        <xdr:to>
          <xdr:col>2</xdr:col>
          <xdr:colOff>2219325</xdr:colOff>
          <xdr:row>171</xdr:row>
          <xdr:rowOff>390525</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171</xdr:row>
          <xdr:rowOff>352425</xdr:rowOff>
        </xdr:from>
        <xdr:to>
          <xdr:col>2</xdr:col>
          <xdr:colOff>2124075</xdr:colOff>
          <xdr:row>171</xdr:row>
          <xdr:rowOff>571500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171</xdr:row>
          <xdr:rowOff>9525</xdr:rowOff>
        </xdr:from>
        <xdr:to>
          <xdr:col>2</xdr:col>
          <xdr:colOff>2705100</xdr:colOff>
          <xdr:row>171</xdr:row>
          <xdr:rowOff>647700</xdr:rowOff>
        </xdr:to>
        <xdr:sp macro="" textlink="">
          <xdr:nvSpPr>
            <xdr:cNvPr id="1343" name="Group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Aanschaf elektrische kookvoorziening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173</xdr:row>
          <xdr:rowOff>180975</xdr:rowOff>
        </xdr:from>
        <xdr:to>
          <xdr:col>2</xdr:col>
          <xdr:colOff>2038350</xdr:colOff>
          <xdr:row>174</xdr:row>
          <xdr:rowOff>9525</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174</xdr:row>
          <xdr:rowOff>0</xdr:rowOff>
        </xdr:from>
        <xdr:to>
          <xdr:col>2</xdr:col>
          <xdr:colOff>2171700</xdr:colOff>
          <xdr:row>175</xdr:row>
          <xdr:rowOff>19050</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173</xdr:row>
          <xdr:rowOff>0</xdr:rowOff>
        </xdr:from>
        <xdr:to>
          <xdr:col>2</xdr:col>
          <xdr:colOff>2705100</xdr:colOff>
          <xdr:row>175</xdr:row>
          <xdr:rowOff>85725</xdr:rowOff>
        </xdr:to>
        <xdr:sp macro="" textlink="">
          <xdr:nvSpPr>
            <xdr:cNvPr id="1346" name="Group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Woning aangesloten op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177</xdr:row>
          <xdr:rowOff>171450</xdr:rowOff>
        </xdr:from>
        <xdr:to>
          <xdr:col>2</xdr:col>
          <xdr:colOff>2133600</xdr:colOff>
          <xdr:row>178</xdr:row>
          <xdr:rowOff>9525</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178</xdr:row>
          <xdr:rowOff>0</xdr:rowOff>
        </xdr:from>
        <xdr:to>
          <xdr:col>2</xdr:col>
          <xdr:colOff>2171700</xdr:colOff>
          <xdr:row>179</xdr:row>
          <xdr:rowOff>47625</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177</xdr:row>
          <xdr:rowOff>9525</xdr:rowOff>
        </xdr:from>
        <xdr:to>
          <xdr:col>2</xdr:col>
          <xdr:colOff>2705100</xdr:colOff>
          <xdr:row>179</xdr:row>
          <xdr:rowOff>85725</xdr:rowOff>
        </xdr:to>
        <xdr:sp macro="" textlink="">
          <xdr:nvSpPr>
            <xdr:cNvPr id="1349" name="Group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Eerdere subsidie 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181</xdr:row>
          <xdr:rowOff>180975</xdr:rowOff>
        </xdr:from>
        <xdr:to>
          <xdr:col>2</xdr:col>
          <xdr:colOff>1943100</xdr:colOff>
          <xdr:row>182</xdr:row>
          <xdr:rowOff>9525</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182</xdr:row>
          <xdr:rowOff>0</xdr:rowOff>
        </xdr:from>
        <xdr:to>
          <xdr:col>2</xdr:col>
          <xdr:colOff>2143125</xdr:colOff>
          <xdr:row>183</xdr:row>
          <xdr:rowOff>19050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181</xdr:row>
          <xdr:rowOff>0</xdr:rowOff>
        </xdr:from>
        <xdr:to>
          <xdr:col>2</xdr:col>
          <xdr:colOff>2695575</xdr:colOff>
          <xdr:row>183</xdr:row>
          <xdr:rowOff>57150</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Afgesloten van het aardgasnet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81</xdr:row>
          <xdr:rowOff>390525</xdr:rowOff>
        </xdr:from>
        <xdr:to>
          <xdr:col>2</xdr:col>
          <xdr:colOff>2457450</xdr:colOff>
          <xdr:row>81</xdr:row>
          <xdr:rowOff>609600</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glasisolatie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81</xdr:row>
          <xdr:rowOff>590550</xdr:rowOff>
        </xdr:from>
        <xdr:to>
          <xdr:col>2</xdr:col>
          <xdr:colOff>2162175</xdr:colOff>
          <xdr:row>81</xdr:row>
          <xdr:rowOff>809625</xdr:rowOff>
        </xdr:to>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HR++ glas en/of Triple glas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228600</xdr:rowOff>
        </xdr:from>
        <xdr:to>
          <xdr:col>2</xdr:col>
          <xdr:colOff>2695575</xdr:colOff>
          <xdr:row>82</xdr:row>
          <xdr:rowOff>9525</xdr:rowOff>
        </xdr:to>
        <xdr:sp macro="" textlink="">
          <xdr:nvSpPr>
            <xdr:cNvPr id="1359" name="Group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Glasisolatie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84</xdr:row>
          <xdr:rowOff>180975</xdr:rowOff>
        </xdr:from>
        <xdr:to>
          <xdr:col>2</xdr:col>
          <xdr:colOff>2171700</xdr:colOff>
          <xdr:row>86</xdr:row>
          <xdr:rowOff>19050</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85</xdr:row>
          <xdr:rowOff>180975</xdr:rowOff>
        </xdr:from>
        <xdr:to>
          <xdr:col>2</xdr:col>
          <xdr:colOff>2247900</xdr:colOff>
          <xdr:row>87</xdr:row>
          <xdr:rowOff>19050</xdr:rowOff>
        </xdr:to>
        <xdr:sp macro="" textlink="">
          <xdr:nvSpPr>
            <xdr:cNvPr id="1361" name="Option Button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2695575</xdr:colOff>
          <xdr:row>87</xdr:row>
          <xdr:rowOff>57150</xdr:rowOff>
        </xdr:to>
        <xdr:sp macro="" textlink="">
          <xdr:nvSpPr>
            <xdr:cNvPr id="1363" name="Group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 glas,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89</xdr:row>
          <xdr:rowOff>180975</xdr:rowOff>
        </xdr:from>
        <xdr:to>
          <xdr:col>2</xdr:col>
          <xdr:colOff>2286000</xdr:colOff>
          <xdr:row>91</xdr:row>
          <xdr:rowOff>19050</xdr:rowOff>
        </xdr:to>
        <xdr:sp macro="" textlink="">
          <xdr:nvSpPr>
            <xdr:cNvPr id="1364" name="Option Button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90</xdr:row>
          <xdr:rowOff>180975</xdr:rowOff>
        </xdr:from>
        <xdr:to>
          <xdr:col>2</xdr:col>
          <xdr:colOff>2266950</xdr:colOff>
          <xdr:row>92</xdr:row>
          <xdr:rowOff>19050</xdr:rowOff>
        </xdr:to>
        <xdr:sp macro="" textlink="">
          <xdr:nvSpPr>
            <xdr:cNvPr id="1365" name="Option Button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2695575</xdr:colOff>
          <xdr:row>92</xdr:row>
          <xdr:rowOff>66675</xdr:rowOff>
        </xdr:to>
        <xdr:sp macro="" textlink="">
          <xdr:nvSpPr>
            <xdr:cNvPr id="1366" name="Group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Triple glas,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94</xdr:row>
          <xdr:rowOff>180975</xdr:rowOff>
        </xdr:from>
        <xdr:to>
          <xdr:col>2</xdr:col>
          <xdr:colOff>2228850</xdr:colOff>
          <xdr:row>96</xdr:row>
          <xdr:rowOff>19050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95</xdr:row>
          <xdr:rowOff>180975</xdr:rowOff>
        </xdr:from>
        <xdr:to>
          <xdr:col>2</xdr:col>
          <xdr:colOff>2124075</xdr:colOff>
          <xdr:row>97</xdr:row>
          <xdr:rowOff>19050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2695575</xdr:colOff>
          <xdr:row>97</xdr:row>
          <xdr:rowOff>85725</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99</xdr:row>
          <xdr:rowOff>171450</xdr:rowOff>
        </xdr:from>
        <xdr:to>
          <xdr:col>2</xdr:col>
          <xdr:colOff>2305050</xdr:colOff>
          <xdr:row>101</xdr:row>
          <xdr:rowOff>9525</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100</xdr:row>
          <xdr:rowOff>171450</xdr:rowOff>
        </xdr:from>
        <xdr:to>
          <xdr:col>2</xdr:col>
          <xdr:colOff>2238375</xdr:colOff>
          <xdr:row>102</xdr:row>
          <xdr:rowOff>9525</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0</xdr:rowOff>
        </xdr:from>
        <xdr:to>
          <xdr:col>2</xdr:col>
          <xdr:colOff>2695575</xdr:colOff>
          <xdr:row>102</xdr:row>
          <xdr:rowOff>76200</xdr:rowOff>
        </xdr:to>
        <xdr:sp macro="" textlink="">
          <xdr:nvSpPr>
            <xdr:cNvPr id="1372" name="Group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104</xdr:row>
          <xdr:rowOff>180975</xdr:rowOff>
        </xdr:from>
        <xdr:to>
          <xdr:col>2</xdr:col>
          <xdr:colOff>2200275</xdr:colOff>
          <xdr:row>106</xdr:row>
          <xdr:rowOff>19050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105</xdr:row>
          <xdr:rowOff>180975</xdr:rowOff>
        </xdr:from>
        <xdr:to>
          <xdr:col>2</xdr:col>
          <xdr:colOff>2352675</xdr:colOff>
          <xdr:row>107</xdr:row>
          <xdr:rowOff>19050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2</xdr:col>
          <xdr:colOff>2695575</xdr:colOff>
          <xdr:row>107</xdr:row>
          <xdr:rowOff>95250</xdr:rowOff>
        </xdr:to>
        <xdr:sp macro="" textlink="">
          <xdr:nvSpPr>
            <xdr:cNvPr id="1375" name="Group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1,5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109</xdr:row>
          <xdr:rowOff>171450</xdr:rowOff>
        </xdr:from>
        <xdr:to>
          <xdr:col>2</xdr:col>
          <xdr:colOff>2047875</xdr:colOff>
          <xdr:row>111</xdr:row>
          <xdr:rowOff>9525</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110</xdr:row>
          <xdr:rowOff>171450</xdr:rowOff>
        </xdr:from>
        <xdr:to>
          <xdr:col>2</xdr:col>
          <xdr:colOff>2038350</xdr:colOff>
          <xdr:row>112</xdr:row>
          <xdr:rowOff>9525</xdr:rowOff>
        </xdr:to>
        <xdr:sp macro="" textlink="">
          <xdr:nvSpPr>
            <xdr:cNvPr id="1377" name="Option Button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2</xdr:col>
          <xdr:colOff>2695575</xdr:colOff>
          <xdr:row>112</xdr:row>
          <xdr:rowOff>66675</xdr:rowOff>
        </xdr:to>
        <xdr:sp macro="" textlink="">
          <xdr:nvSpPr>
            <xdr:cNvPr id="1378" name="Group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0</xdr:rowOff>
        </xdr:from>
        <xdr:to>
          <xdr:col>4</xdr:col>
          <xdr:colOff>2705100</xdr:colOff>
          <xdr:row>87</xdr:row>
          <xdr:rowOff>57150</xdr:rowOff>
        </xdr:to>
        <xdr:sp macro="" textlink="">
          <xdr:nvSpPr>
            <xdr:cNvPr id="1385" name="Group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 glas,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2695575</xdr:colOff>
          <xdr:row>92</xdr:row>
          <xdr:rowOff>57150</xdr:rowOff>
        </xdr:to>
        <xdr:sp macro="" textlink="">
          <xdr:nvSpPr>
            <xdr:cNvPr id="1391" name="Group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Triple glas,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2695575</xdr:colOff>
          <xdr:row>97</xdr:row>
          <xdr:rowOff>57150</xdr:rowOff>
        </xdr:to>
        <xdr:sp macro="" textlink="">
          <xdr:nvSpPr>
            <xdr:cNvPr id="1396" name="Group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0</xdr:rowOff>
        </xdr:from>
        <xdr:to>
          <xdr:col>4</xdr:col>
          <xdr:colOff>2695575</xdr:colOff>
          <xdr:row>102</xdr:row>
          <xdr:rowOff>57150</xdr:rowOff>
        </xdr:to>
        <xdr:sp macro="" textlink="">
          <xdr:nvSpPr>
            <xdr:cNvPr id="1401" name="Group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0</xdr:rowOff>
        </xdr:from>
        <xdr:to>
          <xdr:col>4</xdr:col>
          <xdr:colOff>2705100</xdr:colOff>
          <xdr:row>107</xdr:row>
          <xdr:rowOff>57150</xdr:rowOff>
        </xdr:to>
        <xdr:sp macro="" textlink="">
          <xdr:nvSpPr>
            <xdr:cNvPr id="1408" name="Group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1,5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4</xdr:col>
          <xdr:colOff>2695575</xdr:colOff>
          <xdr:row>112</xdr:row>
          <xdr:rowOff>57150</xdr:rowOff>
        </xdr:to>
        <xdr:sp macro="" textlink="">
          <xdr:nvSpPr>
            <xdr:cNvPr id="1413" name="Group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171450</xdr:rowOff>
        </xdr:from>
        <xdr:to>
          <xdr:col>4</xdr:col>
          <xdr:colOff>323850</xdr:colOff>
          <xdr:row>67</xdr:row>
          <xdr:rowOff>28575</xdr:rowOff>
        </xdr:to>
        <xdr:sp macro="" textlink="">
          <xdr:nvSpPr>
            <xdr:cNvPr id="1414" name="Check Box 390" descr="Biobased"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Dakisolatie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123</xdr:row>
          <xdr:rowOff>180975</xdr:rowOff>
        </xdr:from>
        <xdr:to>
          <xdr:col>4</xdr:col>
          <xdr:colOff>2552700</xdr:colOff>
          <xdr:row>125</xdr:row>
          <xdr:rowOff>19050</xdr:rowOff>
        </xdr:to>
        <xdr:sp macro="" textlink="">
          <xdr:nvSpPr>
            <xdr:cNvPr id="1420" name="Option Button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0</xdr:rowOff>
        </xdr:from>
        <xdr:to>
          <xdr:col>2</xdr:col>
          <xdr:colOff>2266950</xdr:colOff>
          <xdr:row>34</xdr:row>
          <xdr:rowOff>180975</xdr:rowOff>
        </xdr:to>
        <xdr:sp macro="" textlink="">
          <xdr:nvSpPr>
            <xdr:cNvPr id="1421" name="Option Button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2695575</xdr:colOff>
          <xdr:row>36</xdr:row>
          <xdr:rowOff>104775</xdr:rowOff>
        </xdr:to>
        <xdr:sp macro="" textlink="">
          <xdr:nvSpPr>
            <xdr:cNvPr id="1422" name="Group Box 398" descr="Dakisolatie"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Zolder- of vlieringisolatie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171450</xdr:rowOff>
        </xdr:from>
        <xdr:to>
          <xdr:col>4</xdr:col>
          <xdr:colOff>2495550</xdr:colOff>
          <xdr:row>35</xdr:row>
          <xdr:rowOff>0</xdr:rowOff>
        </xdr:to>
        <xdr:sp macro="" textlink="">
          <xdr:nvSpPr>
            <xdr:cNvPr id="1423" name="Option Button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0</xdr:rowOff>
        </xdr:from>
        <xdr:to>
          <xdr:col>4</xdr:col>
          <xdr:colOff>2705100</xdr:colOff>
          <xdr:row>38</xdr:row>
          <xdr:rowOff>47625</xdr:rowOff>
        </xdr:to>
        <xdr:sp macro="" textlink="">
          <xdr:nvSpPr>
            <xdr:cNvPr id="1424" name="Group Box 400" descr="Zolder-of vlieringisolatie"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Zolder- of vlieringisolatie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2</xdr:col>
          <xdr:colOff>2457450</xdr:colOff>
          <xdr:row>35</xdr:row>
          <xdr:rowOff>180975</xdr:rowOff>
        </xdr:to>
        <xdr:sp macro="" textlink="">
          <xdr:nvSpPr>
            <xdr:cNvPr id="1426" name="Option Button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Zolder-of vlieringisolatie, RD ≥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171450</xdr:rowOff>
        </xdr:from>
        <xdr:to>
          <xdr:col>4</xdr:col>
          <xdr:colOff>2476500</xdr:colOff>
          <xdr:row>36</xdr:row>
          <xdr:rowOff>0</xdr:rowOff>
        </xdr:to>
        <xdr:sp macro="" textlink="">
          <xdr:nvSpPr>
            <xdr:cNvPr id="1427" name="Option Button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171450</xdr:rowOff>
        </xdr:from>
        <xdr:to>
          <xdr:col>4</xdr:col>
          <xdr:colOff>2371725</xdr:colOff>
          <xdr:row>37</xdr:row>
          <xdr:rowOff>0</xdr:rowOff>
        </xdr:to>
        <xdr:sp macro="" textlink="">
          <xdr:nvSpPr>
            <xdr:cNvPr id="1428" name="Option Button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171450</xdr:rowOff>
        </xdr:from>
        <xdr:to>
          <xdr:col>4</xdr:col>
          <xdr:colOff>2371725</xdr:colOff>
          <xdr:row>32</xdr:row>
          <xdr:rowOff>0</xdr:rowOff>
        </xdr:to>
        <xdr:sp macro="" textlink="">
          <xdr:nvSpPr>
            <xdr:cNvPr id="1429" name="Option Button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171450</xdr:rowOff>
        </xdr:from>
        <xdr:to>
          <xdr:col>4</xdr:col>
          <xdr:colOff>2371725</xdr:colOff>
          <xdr:row>38</xdr:row>
          <xdr:rowOff>0</xdr:rowOff>
        </xdr:to>
        <xdr:sp macro="" textlink="">
          <xdr:nvSpPr>
            <xdr:cNvPr id="1430" name="Option Button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171450</xdr:rowOff>
        </xdr:from>
        <xdr:to>
          <xdr:col>4</xdr:col>
          <xdr:colOff>2571750</xdr:colOff>
          <xdr:row>44</xdr:row>
          <xdr:rowOff>9525</xdr:rowOff>
        </xdr:to>
        <xdr:sp macro="" textlink="">
          <xdr:nvSpPr>
            <xdr:cNvPr id="1431" name="Option Button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48</xdr:row>
          <xdr:rowOff>180975</xdr:rowOff>
        </xdr:from>
        <xdr:to>
          <xdr:col>4</xdr:col>
          <xdr:colOff>2638425</xdr:colOff>
          <xdr:row>50</xdr:row>
          <xdr:rowOff>9525</xdr:rowOff>
        </xdr:to>
        <xdr:sp macro="" textlink="">
          <xdr:nvSpPr>
            <xdr:cNvPr id="1432" name="Option Button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171450</xdr:rowOff>
        </xdr:from>
        <xdr:to>
          <xdr:col>4</xdr:col>
          <xdr:colOff>2524125</xdr:colOff>
          <xdr:row>56</xdr:row>
          <xdr:rowOff>9525</xdr:rowOff>
        </xdr:to>
        <xdr:sp macro="" textlink="">
          <xdr:nvSpPr>
            <xdr:cNvPr id="1433" name="Option Button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180975</xdr:rowOff>
        </xdr:from>
        <xdr:to>
          <xdr:col>2</xdr:col>
          <xdr:colOff>2295525</xdr:colOff>
          <xdr:row>59</xdr:row>
          <xdr:rowOff>9525</xdr:rowOff>
        </xdr:to>
        <xdr:sp macro="" textlink="">
          <xdr:nvSpPr>
            <xdr:cNvPr id="1434" name="Option Button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bodemisolatie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2</xdr:col>
          <xdr:colOff>2695575</xdr:colOff>
          <xdr:row>60</xdr:row>
          <xdr:rowOff>104775</xdr:rowOff>
        </xdr:to>
        <xdr:sp macro="" textlink="">
          <xdr:nvSpPr>
            <xdr:cNvPr id="1435" name="Group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Bodemisolatie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171450</xdr:rowOff>
        </xdr:from>
        <xdr:to>
          <xdr:col>4</xdr:col>
          <xdr:colOff>2409825</xdr:colOff>
          <xdr:row>59</xdr:row>
          <xdr:rowOff>9525</xdr:rowOff>
        </xdr:to>
        <xdr:sp macro="" textlink="">
          <xdr:nvSpPr>
            <xdr:cNvPr id="1436" name="Option Button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2695575</xdr:colOff>
          <xdr:row>62</xdr:row>
          <xdr:rowOff>47625</xdr:rowOff>
        </xdr:to>
        <xdr:sp macro="" textlink="">
          <xdr:nvSpPr>
            <xdr:cNvPr id="1437" name="Group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Bodemisolatie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180975</xdr:rowOff>
        </xdr:from>
        <xdr:to>
          <xdr:col>2</xdr:col>
          <xdr:colOff>2162175</xdr:colOff>
          <xdr:row>60</xdr:row>
          <xdr:rowOff>9525</xdr:rowOff>
        </xdr:to>
        <xdr:sp macro="" textlink="">
          <xdr:nvSpPr>
            <xdr:cNvPr id="1438" name="Option Button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Bodemisolatie,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58</xdr:row>
          <xdr:rowOff>171450</xdr:rowOff>
        </xdr:from>
        <xdr:to>
          <xdr:col>4</xdr:col>
          <xdr:colOff>2581275</xdr:colOff>
          <xdr:row>60</xdr:row>
          <xdr:rowOff>9525</xdr:rowOff>
        </xdr:to>
        <xdr:sp macro="" textlink="">
          <xdr:nvSpPr>
            <xdr:cNvPr id="1440" name="Option Button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59</xdr:row>
          <xdr:rowOff>171450</xdr:rowOff>
        </xdr:from>
        <xdr:to>
          <xdr:col>4</xdr:col>
          <xdr:colOff>2524125</xdr:colOff>
          <xdr:row>61</xdr:row>
          <xdr:rowOff>9525</xdr:rowOff>
        </xdr:to>
        <xdr:sp macro="" textlink="">
          <xdr:nvSpPr>
            <xdr:cNvPr id="1441" name="Option Button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60</xdr:row>
          <xdr:rowOff>171450</xdr:rowOff>
        </xdr:from>
        <xdr:to>
          <xdr:col>4</xdr:col>
          <xdr:colOff>2524125</xdr:colOff>
          <xdr:row>62</xdr:row>
          <xdr:rowOff>9525</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171450</xdr:rowOff>
        </xdr:from>
        <xdr:to>
          <xdr:col>4</xdr:col>
          <xdr:colOff>323850</xdr:colOff>
          <xdr:row>69</xdr:row>
          <xdr:rowOff>28575</xdr:rowOff>
        </xdr:to>
        <xdr:sp macro="" textlink="">
          <xdr:nvSpPr>
            <xdr:cNvPr id="1443" name="Check Box 419" descr="Biobased"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Zolder-of vlieringisolatie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1962150</xdr:colOff>
          <xdr:row>77</xdr:row>
          <xdr:rowOff>47625</xdr:rowOff>
        </xdr:to>
        <xdr:sp macro="" textlink="">
          <xdr:nvSpPr>
            <xdr:cNvPr id="1444" name="Check Box 420" descr="Biobased"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Bodemisolatie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84</xdr:row>
          <xdr:rowOff>152400</xdr:rowOff>
        </xdr:from>
        <xdr:to>
          <xdr:col>4</xdr:col>
          <xdr:colOff>2028825</xdr:colOff>
          <xdr:row>86</xdr:row>
          <xdr:rowOff>9525</xdr:rowOff>
        </xdr:to>
        <xdr:sp macro="" textlink="">
          <xdr:nvSpPr>
            <xdr:cNvPr id="1452" name="Check Box 428" descr="Biobased"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85</xdr:row>
          <xdr:rowOff>152400</xdr:rowOff>
        </xdr:from>
        <xdr:to>
          <xdr:col>4</xdr:col>
          <xdr:colOff>2028825</xdr:colOff>
          <xdr:row>87</xdr:row>
          <xdr:rowOff>9525</xdr:rowOff>
        </xdr:to>
        <xdr:sp macro="" textlink="">
          <xdr:nvSpPr>
            <xdr:cNvPr id="1453" name="Check Box 429" descr="Biobased"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89</xdr:row>
          <xdr:rowOff>152400</xdr:rowOff>
        </xdr:from>
        <xdr:to>
          <xdr:col>4</xdr:col>
          <xdr:colOff>2028825</xdr:colOff>
          <xdr:row>91</xdr:row>
          <xdr:rowOff>9525</xdr:rowOff>
        </xdr:to>
        <xdr:sp macro="" textlink="">
          <xdr:nvSpPr>
            <xdr:cNvPr id="1456" name="Check Box 432" descr="Biobased"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152400</xdr:rowOff>
        </xdr:from>
        <xdr:to>
          <xdr:col>4</xdr:col>
          <xdr:colOff>2028825</xdr:colOff>
          <xdr:row>92</xdr:row>
          <xdr:rowOff>9525</xdr:rowOff>
        </xdr:to>
        <xdr:sp macro="" textlink="">
          <xdr:nvSpPr>
            <xdr:cNvPr id="1457" name="Check Box 433" descr="Biobased"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94</xdr:row>
          <xdr:rowOff>152400</xdr:rowOff>
        </xdr:from>
        <xdr:to>
          <xdr:col>4</xdr:col>
          <xdr:colOff>2028825</xdr:colOff>
          <xdr:row>96</xdr:row>
          <xdr:rowOff>9525</xdr:rowOff>
        </xdr:to>
        <xdr:sp macro="" textlink="">
          <xdr:nvSpPr>
            <xdr:cNvPr id="1458" name="Check Box 434" descr="Biobased"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95</xdr:row>
          <xdr:rowOff>152400</xdr:rowOff>
        </xdr:from>
        <xdr:to>
          <xdr:col>4</xdr:col>
          <xdr:colOff>2028825</xdr:colOff>
          <xdr:row>97</xdr:row>
          <xdr:rowOff>9525</xdr:rowOff>
        </xdr:to>
        <xdr:sp macro="" textlink="">
          <xdr:nvSpPr>
            <xdr:cNvPr id="1459" name="Check Box 435" descr="Biobased"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152400</xdr:rowOff>
        </xdr:from>
        <xdr:to>
          <xdr:col>4</xdr:col>
          <xdr:colOff>2028825</xdr:colOff>
          <xdr:row>101</xdr:row>
          <xdr:rowOff>9525</xdr:rowOff>
        </xdr:to>
        <xdr:sp macro="" textlink="">
          <xdr:nvSpPr>
            <xdr:cNvPr id="1460" name="Check Box 436" descr="Biobased"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100</xdr:row>
          <xdr:rowOff>152400</xdr:rowOff>
        </xdr:from>
        <xdr:to>
          <xdr:col>4</xdr:col>
          <xdr:colOff>2028825</xdr:colOff>
          <xdr:row>102</xdr:row>
          <xdr:rowOff>9525</xdr:rowOff>
        </xdr:to>
        <xdr:sp macro="" textlink="">
          <xdr:nvSpPr>
            <xdr:cNvPr id="1461" name="Check Box 437" descr="Biobased"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104</xdr:row>
          <xdr:rowOff>152400</xdr:rowOff>
        </xdr:from>
        <xdr:to>
          <xdr:col>4</xdr:col>
          <xdr:colOff>2028825</xdr:colOff>
          <xdr:row>106</xdr:row>
          <xdr:rowOff>9525</xdr:rowOff>
        </xdr:to>
        <xdr:sp macro="" textlink="">
          <xdr:nvSpPr>
            <xdr:cNvPr id="1462" name="Check Box 438" descr="Biobased"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105</xdr:row>
          <xdr:rowOff>152400</xdr:rowOff>
        </xdr:from>
        <xdr:to>
          <xdr:col>4</xdr:col>
          <xdr:colOff>2028825</xdr:colOff>
          <xdr:row>107</xdr:row>
          <xdr:rowOff>9525</xdr:rowOff>
        </xdr:to>
        <xdr:sp macro="" textlink="">
          <xdr:nvSpPr>
            <xdr:cNvPr id="1463" name="Check Box 439" descr="Biobased"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109</xdr:row>
          <xdr:rowOff>152400</xdr:rowOff>
        </xdr:from>
        <xdr:to>
          <xdr:col>4</xdr:col>
          <xdr:colOff>2028825</xdr:colOff>
          <xdr:row>111</xdr:row>
          <xdr:rowOff>9525</xdr:rowOff>
        </xdr:to>
        <xdr:sp macro="" textlink="">
          <xdr:nvSpPr>
            <xdr:cNvPr id="1464" name="Check Box 440" descr="Biobased"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Vóór 2025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110</xdr:row>
          <xdr:rowOff>152400</xdr:rowOff>
        </xdr:from>
        <xdr:to>
          <xdr:col>4</xdr:col>
          <xdr:colOff>2028825</xdr:colOff>
          <xdr:row>112</xdr:row>
          <xdr:rowOff>9525</xdr:rowOff>
        </xdr:to>
        <xdr:sp macro="" textlink="">
          <xdr:nvSpPr>
            <xdr:cNvPr id="1465" name="Check Box 441" descr="Biobased"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7.xml"/><Relationship Id="rId117" Type="http://schemas.openxmlformats.org/officeDocument/2006/relationships/ctrlProp" Target="../ctrlProps/ctrlProp108.xml"/><Relationship Id="rId21" Type="http://schemas.openxmlformats.org/officeDocument/2006/relationships/ctrlProp" Target="../ctrlProps/ctrlProp12.xml"/><Relationship Id="rId42" Type="http://schemas.openxmlformats.org/officeDocument/2006/relationships/ctrlProp" Target="../ctrlProps/ctrlProp33.xml"/><Relationship Id="rId47" Type="http://schemas.openxmlformats.org/officeDocument/2006/relationships/ctrlProp" Target="../ctrlProps/ctrlProp38.xml"/><Relationship Id="rId63" Type="http://schemas.openxmlformats.org/officeDocument/2006/relationships/ctrlProp" Target="../ctrlProps/ctrlProp54.xml"/><Relationship Id="rId68" Type="http://schemas.openxmlformats.org/officeDocument/2006/relationships/ctrlProp" Target="../ctrlProps/ctrlProp59.xml"/><Relationship Id="rId84" Type="http://schemas.openxmlformats.org/officeDocument/2006/relationships/ctrlProp" Target="../ctrlProps/ctrlProp75.xml"/><Relationship Id="rId89" Type="http://schemas.openxmlformats.org/officeDocument/2006/relationships/ctrlProp" Target="../ctrlProps/ctrlProp80.xml"/><Relationship Id="rId112" Type="http://schemas.openxmlformats.org/officeDocument/2006/relationships/ctrlProp" Target="../ctrlProps/ctrlProp103.xml"/><Relationship Id="rId133" Type="http://schemas.openxmlformats.org/officeDocument/2006/relationships/ctrlProp" Target="../ctrlProps/ctrlProp124.xml"/><Relationship Id="rId138" Type="http://schemas.openxmlformats.org/officeDocument/2006/relationships/ctrlProp" Target="../ctrlProps/ctrlProp129.xml"/><Relationship Id="rId154" Type="http://schemas.openxmlformats.org/officeDocument/2006/relationships/ctrlProp" Target="../ctrlProps/ctrlProp145.xml"/><Relationship Id="rId159" Type="http://schemas.openxmlformats.org/officeDocument/2006/relationships/ctrlProp" Target="../ctrlProps/ctrlProp150.xml"/><Relationship Id="rId16" Type="http://schemas.openxmlformats.org/officeDocument/2006/relationships/ctrlProp" Target="../ctrlProps/ctrlProp7.xml"/><Relationship Id="rId107" Type="http://schemas.openxmlformats.org/officeDocument/2006/relationships/ctrlProp" Target="../ctrlProps/ctrlProp98.xml"/><Relationship Id="rId11" Type="http://schemas.openxmlformats.org/officeDocument/2006/relationships/ctrlProp" Target="../ctrlProps/ctrlProp2.xml"/><Relationship Id="rId32" Type="http://schemas.openxmlformats.org/officeDocument/2006/relationships/ctrlProp" Target="../ctrlProps/ctrlProp23.xml"/><Relationship Id="rId37" Type="http://schemas.openxmlformats.org/officeDocument/2006/relationships/ctrlProp" Target="../ctrlProps/ctrlProp28.xml"/><Relationship Id="rId53" Type="http://schemas.openxmlformats.org/officeDocument/2006/relationships/ctrlProp" Target="../ctrlProps/ctrlProp44.xml"/><Relationship Id="rId58" Type="http://schemas.openxmlformats.org/officeDocument/2006/relationships/ctrlProp" Target="../ctrlProps/ctrlProp49.xml"/><Relationship Id="rId74" Type="http://schemas.openxmlformats.org/officeDocument/2006/relationships/ctrlProp" Target="../ctrlProps/ctrlProp65.xml"/><Relationship Id="rId79" Type="http://schemas.openxmlformats.org/officeDocument/2006/relationships/ctrlProp" Target="../ctrlProps/ctrlProp70.xml"/><Relationship Id="rId102" Type="http://schemas.openxmlformats.org/officeDocument/2006/relationships/ctrlProp" Target="../ctrlProps/ctrlProp93.xml"/><Relationship Id="rId123" Type="http://schemas.openxmlformats.org/officeDocument/2006/relationships/ctrlProp" Target="../ctrlProps/ctrlProp114.xml"/><Relationship Id="rId128" Type="http://schemas.openxmlformats.org/officeDocument/2006/relationships/ctrlProp" Target="../ctrlProps/ctrlProp119.xml"/><Relationship Id="rId144" Type="http://schemas.openxmlformats.org/officeDocument/2006/relationships/ctrlProp" Target="../ctrlProps/ctrlProp135.xml"/><Relationship Id="rId149" Type="http://schemas.openxmlformats.org/officeDocument/2006/relationships/ctrlProp" Target="../ctrlProps/ctrlProp140.xml"/><Relationship Id="rId5" Type="http://schemas.openxmlformats.org/officeDocument/2006/relationships/hyperlink" Target="https://eur01.safelinks.protection.outlook.com/?url=https%3A%2F%2Fwww.rvo.nl%2Fsubsidies-financiering%2Fisde%2Fmeldcodelijsten%2Fzonneboilers&amp;data=05%7C02%7Cjanhendrik.hoekstra%40rvo.nl%7C0e390bdd0382462c82b608dd16039871%7C1321633ef6b944e2a44f59b9d264ecb7%7C0%7C0%7C638690926895602071%7CUnknown%7CTWFpbGZsb3d8eyJFbXB0eU1hcGkiOnRydWUsIlYiOiIwLjAuMDAwMCIsIlAiOiJXaW4zMiIsIkFOIjoiTWFpbCIsIldUIjoyfQ%3D%3D%7C0%7C%7C%7C&amp;sdata=beHGluX4ZRXIxE0WLaJZvjuWCAd2r%2FpvnyY0Ch1DPlg%3D&amp;reserved=0" TargetMode="External"/><Relationship Id="rId90" Type="http://schemas.openxmlformats.org/officeDocument/2006/relationships/ctrlProp" Target="../ctrlProps/ctrlProp81.xml"/><Relationship Id="rId95" Type="http://schemas.openxmlformats.org/officeDocument/2006/relationships/ctrlProp" Target="../ctrlProps/ctrlProp86.xml"/><Relationship Id="rId160" Type="http://schemas.openxmlformats.org/officeDocument/2006/relationships/comments" Target="../comments1.xml"/><Relationship Id="rId22" Type="http://schemas.openxmlformats.org/officeDocument/2006/relationships/ctrlProp" Target="../ctrlProps/ctrlProp13.xml"/><Relationship Id="rId27" Type="http://schemas.openxmlformats.org/officeDocument/2006/relationships/ctrlProp" Target="../ctrlProps/ctrlProp18.xml"/><Relationship Id="rId43" Type="http://schemas.openxmlformats.org/officeDocument/2006/relationships/ctrlProp" Target="../ctrlProps/ctrlProp34.xml"/><Relationship Id="rId48" Type="http://schemas.openxmlformats.org/officeDocument/2006/relationships/ctrlProp" Target="../ctrlProps/ctrlProp39.xml"/><Relationship Id="rId64" Type="http://schemas.openxmlformats.org/officeDocument/2006/relationships/ctrlProp" Target="../ctrlProps/ctrlProp55.xml"/><Relationship Id="rId69" Type="http://schemas.openxmlformats.org/officeDocument/2006/relationships/ctrlProp" Target="../ctrlProps/ctrlProp60.xml"/><Relationship Id="rId113" Type="http://schemas.openxmlformats.org/officeDocument/2006/relationships/ctrlProp" Target="../ctrlProps/ctrlProp104.xml"/><Relationship Id="rId118" Type="http://schemas.openxmlformats.org/officeDocument/2006/relationships/ctrlProp" Target="../ctrlProps/ctrlProp109.xml"/><Relationship Id="rId134" Type="http://schemas.openxmlformats.org/officeDocument/2006/relationships/ctrlProp" Target="../ctrlProps/ctrlProp125.xml"/><Relationship Id="rId139" Type="http://schemas.openxmlformats.org/officeDocument/2006/relationships/ctrlProp" Target="../ctrlProps/ctrlProp130.xml"/><Relationship Id="rId80" Type="http://schemas.openxmlformats.org/officeDocument/2006/relationships/ctrlProp" Target="../ctrlProps/ctrlProp71.xml"/><Relationship Id="rId85" Type="http://schemas.openxmlformats.org/officeDocument/2006/relationships/ctrlProp" Target="../ctrlProps/ctrlProp76.xml"/><Relationship Id="rId150" Type="http://schemas.openxmlformats.org/officeDocument/2006/relationships/ctrlProp" Target="../ctrlProps/ctrlProp141.xml"/><Relationship Id="rId155" Type="http://schemas.openxmlformats.org/officeDocument/2006/relationships/ctrlProp" Target="../ctrlProps/ctrlProp146.xml"/><Relationship Id="rId12" Type="http://schemas.openxmlformats.org/officeDocument/2006/relationships/ctrlProp" Target="../ctrlProps/ctrlProp3.xml"/><Relationship Id="rId17" Type="http://schemas.openxmlformats.org/officeDocument/2006/relationships/ctrlProp" Target="../ctrlProps/ctrlProp8.xml"/><Relationship Id="rId33" Type="http://schemas.openxmlformats.org/officeDocument/2006/relationships/ctrlProp" Target="../ctrlProps/ctrlProp24.xml"/><Relationship Id="rId38" Type="http://schemas.openxmlformats.org/officeDocument/2006/relationships/ctrlProp" Target="../ctrlProps/ctrlProp29.xml"/><Relationship Id="rId59" Type="http://schemas.openxmlformats.org/officeDocument/2006/relationships/ctrlProp" Target="../ctrlProps/ctrlProp50.xml"/><Relationship Id="rId103" Type="http://schemas.openxmlformats.org/officeDocument/2006/relationships/ctrlProp" Target="../ctrlProps/ctrlProp94.xml"/><Relationship Id="rId108" Type="http://schemas.openxmlformats.org/officeDocument/2006/relationships/ctrlProp" Target="../ctrlProps/ctrlProp99.xml"/><Relationship Id="rId124" Type="http://schemas.openxmlformats.org/officeDocument/2006/relationships/ctrlProp" Target="../ctrlProps/ctrlProp115.xml"/><Relationship Id="rId129" Type="http://schemas.openxmlformats.org/officeDocument/2006/relationships/ctrlProp" Target="../ctrlProps/ctrlProp120.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83" Type="http://schemas.openxmlformats.org/officeDocument/2006/relationships/ctrlProp" Target="../ctrlProps/ctrlProp74.xml"/><Relationship Id="rId88" Type="http://schemas.openxmlformats.org/officeDocument/2006/relationships/ctrlProp" Target="../ctrlProps/ctrlProp79.xml"/><Relationship Id="rId91" Type="http://schemas.openxmlformats.org/officeDocument/2006/relationships/ctrlProp" Target="../ctrlProps/ctrlProp82.xml"/><Relationship Id="rId96" Type="http://schemas.openxmlformats.org/officeDocument/2006/relationships/ctrlProp" Target="../ctrlProps/ctrlProp87.xml"/><Relationship Id="rId111" Type="http://schemas.openxmlformats.org/officeDocument/2006/relationships/ctrlProp" Target="../ctrlProps/ctrlProp102.xml"/><Relationship Id="rId132" Type="http://schemas.openxmlformats.org/officeDocument/2006/relationships/ctrlProp" Target="../ctrlProps/ctrlProp123.xml"/><Relationship Id="rId140" Type="http://schemas.openxmlformats.org/officeDocument/2006/relationships/ctrlProp" Target="../ctrlProps/ctrlProp131.xml"/><Relationship Id="rId145" Type="http://schemas.openxmlformats.org/officeDocument/2006/relationships/ctrlProp" Target="../ctrlProps/ctrlProp136.xml"/><Relationship Id="rId153" Type="http://schemas.openxmlformats.org/officeDocument/2006/relationships/ctrlProp" Target="../ctrlProps/ctrlProp144.xml"/><Relationship Id="rId1" Type="http://schemas.openxmlformats.org/officeDocument/2006/relationships/hyperlink" Target="https://www.rvo.nl/subsidies-financiering/isde/woningeigenaren/warmtepomp" TargetMode="External"/><Relationship Id="rId6" Type="http://schemas.openxmlformats.org/officeDocument/2006/relationships/hyperlink" Target="https://eur01.safelinks.protection.outlook.com/?url=https%3A%2F%2Fwww.rvo.nl%2Fsubsidies-financiering%2Fisde%2Fmeldcodelijsten%2Fwarmtepompen&amp;data=05%7C02%7Cjanhendrik.hoekstra%40rvo.nl%7C0e390bdd0382462c82b608dd16039871%7C1321633ef6b944e2a44f59b9d264ecb7%7C0%7C0%7C638690926895631869%7CUnknown%7CTWFpbGZsb3d8eyJFbXB0eU1hcGkiOnRydWUsIlYiOiIwLjAuMDAwMCIsIlAiOiJXaW4zMiIsIkFOIjoiTWFpbCIsIldUIjoyfQ%3D%3D%7C0%7C%7C%7C&amp;sdata=GoQd9eUY7CyVBWCRFRj5TcS6APQpAPcy%2FHVE%2F3EDW4I%3D&amp;reserved=0"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106" Type="http://schemas.openxmlformats.org/officeDocument/2006/relationships/ctrlProp" Target="../ctrlProps/ctrlProp97.xml"/><Relationship Id="rId114" Type="http://schemas.openxmlformats.org/officeDocument/2006/relationships/ctrlProp" Target="../ctrlProps/ctrlProp105.xml"/><Relationship Id="rId119" Type="http://schemas.openxmlformats.org/officeDocument/2006/relationships/ctrlProp" Target="../ctrlProps/ctrlProp110.xml"/><Relationship Id="rId127" Type="http://schemas.openxmlformats.org/officeDocument/2006/relationships/ctrlProp" Target="../ctrlProps/ctrlProp118.xml"/><Relationship Id="rId10" Type="http://schemas.openxmlformats.org/officeDocument/2006/relationships/ctrlProp" Target="../ctrlProps/ctrlProp1.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78" Type="http://schemas.openxmlformats.org/officeDocument/2006/relationships/ctrlProp" Target="../ctrlProps/ctrlProp69.xml"/><Relationship Id="rId81" Type="http://schemas.openxmlformats.org/officeDocument/2006/relationships/ctrlProp" Target="../ctrlProps/ctrlProp72.xml"/><Relationship Id="rId86" Type="http://schemas.openxmlformats.org/officeDocument/2006/relationships/ctrlProp" Target="../ctrlProps/ctrlProp77.xml"/><Relationship Id="rId94" Type="http://schemas.openxmlformats.org/officeDocument/2006/relationships/ctrlProp" Target="../ctrlProps/ctrlProp85.xml"/><Relationship Id="rId99" Type="http://schemas.openxmlformats.org/officeDocument/2006/relationships/ctrlProp" Target="../ctrlProps/ctrlProp90.xml"/><Relationship Id="rId101" Type="http://schemas.openxmlformats.org/officeDocument/2006/relationships/ctrlProp" Target="../ctrlProps/ctrlProp92.xml"/><Relationship Id="rId122" Type="http://schemas.openxmlformats.org/officeDocument/2006/relationships/ctrlProp" Target="../ctrlProps/ctrlProp113.xml"/><Relationship Id="rId130" Type="http://schemas.openxmlformats.org/officeDocument/2006/relationships/ctrlProp" Target="../ctrlProps/ctrlProp121.xml"/><Relationship Id="rId135" Type="http://schemas.openxmlformats.org/officeDocument/2006/relationships/ctrlProp" Target="../ctrlProps/ctrlProp126.xml"/><Relationship Id="rId143" Type="http://schemas.openxmlformats.org/officeDocument/2006/relationships/ctrlProp" Target="../ctrlProps/ctrlProp134.xml"/><Relationship Id="rId148" Type="http://schemas.openxmlformats.org/officeDocument/2006/relationships/ctrlProp" Target="../ctrlProps/ctrlProp139.xml"/><Relationship Id="rId151" Type="http://schemas.openxmlformats.org/officeDocument/2006/relationships/ctrlProp" Target="../ctrlProps/ctrlProp142.xml"/><Relationship Id="rId156" Type="http://schemas.openxmlformats.org/officeDocument/2006/relationships/ctrlProp" Target="../ctrlProps/ctrlProp147.xml"/><Relationship Id="rId4" Type="http://schemas.openxmlformats.org/officeDocument/2006/relationships/hyperlink" Target="http://www.rvo.nl/isde-warmtenet" TargetMode="External"/><Relationship Id="rId9" Type="http://schemas.openxmlformats.org/officeDocument/2006/relationships/vmlDrawing" Target="../drawings/vmlDrawing1.v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109" Type="http://schemas.openxmlformats.org/officeDocument/2006/relationships/ctrlProp" Target="../ctrlProps/ctrlProp10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 Id="rId76" Type="http://schemas.openxmlformats.org/officeDocument/2006/relationships/ctrlProp" Target="../ctrlProps/ctrlProp67.xml"/><Relationship Id="rId97" Type="http://schemas.openxmlformats.org/officeDocument/2006/relationships/ctrlProp" Target="../ctrlProps/ctrlProp88.xml"/><Relationship Id="rId104" Type="http://schemas.openxmlformats.org/officeDocument/2006/relationships/ctrlProp" Target="../ctrlProps/ctrlProp95.xml"/><Relationship Id="rId120" Type="http://schemas.openxmlformats.org/officeDocument/2006/relationships/ctrlProp" Target="../ctrlProps/ctrlProp111.xml"/><Relationship Id="rId125" Type="http://schemas.openxmlformats.org/officeDocument/2006/relationships/ctrlProp" Target="../ctrlProps/ctrlProp116.xml"/><Relationship Id="rId141" Type="http://schemas.openxmlformats.org/officeDocument/2006/relationships/ctrlProp" Target="../ctrlProps/ctrlProp132.xml"/><Relationship Id="rId146" Type="http://schemas.openxmlformats.org/officeDocument/2006/relationships/ctrlProp" Target="../ctrlProps/ctrlProp137.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92" Type="http://schemas.openxmlformats.org/officeDocument/2006/relationships/ctrlProp" Target="../ctrlProps/ctrlProp83.xml"/><Relationship Id="rId2" Type="http://schemas.openxmlformats.org/officeDocument/2006/relationships/hyperlink" Target="https://www.rvo.nl/subsidies-financiering/isde/woningeigenaren/zonneboiler" TargetMode="External"/><Relationship Id="rId29" Type="http://schemas.openxmlformats.org/officeDocument/2006/relationships/ctrlProp" Target="../ctrlProps/ctrlProp20.xml"/><Relationship Id="rId24" Type="http://schemas.openxmlformats.org/officeDocument/2006/relationships/ctrlProp" Target="../ctrlProps/ctrlProp15.xml"/><Relationship Id="rId40" Type="http://schemas.openxmlformats.org/officeDocument/2006/relationships/ctrlProp" Target="../ctrlProps/ctrlProp31.xml"/><Relationship Id="rId45" Type="http://schemas.openxmlformats.org/officeDocument/2006/relationships/ctrlProp" Target="../ctrlProps/ctrlProp36.xml"/><Relationship Id="rId66" Type="http://schemas.openxmlformats.org/officeDocument/2006/relationships/ctrlProp" Target="../ctrlProps/ctrlProp57.xml"/><Relationship Id="rId87" Type="http://schemas.openxmlformats.org/officeDocument/2006/relationships/ctrlProp" Target="../ctrlProps/ctrlProp78.xml"/><Relationship Id="rId110" Type="http://schemas.openxmlformats.org/officeDocument/2006/relationships/ctrlProp" Target="../ctrlProps/ctrlProp101.xml"/><Relationship Id="rId115" Type="http://schemas.openxmlformats.org/officeDocument/2006/relationships/ctrlProp" Target="../ctrlProps/ctrlProp106.xml"/><Relationship Id="rId131" Type="http://schemas.openxmlformats.org/officeDocument/2006/relationships/ctrlProp" Target="../ctrlProps/ctrlProp122.xml"/><Relationship Id="rId136" Type="http://schemas.openxmlformats.org/officeDocument/2006/relationships/ctrlProp" Target="../ctrlProps/ctrlProp127.xml"/><Relationship Id="rId157" Type="http://schemas.openxmlformats.org/officeDocument/2006/relationships/ctrlProp" Target="../ctrlProps/ctrlProp148.xml"/><Relationship Id="rId61" Type="http://schemas.openxmlformats.org/officeDocument/2006/relationships/ctrlProp" Target="../ctrlProps/ctrlProp52.xml"/><Relationship Id="rId82" Type="http://schemas.openxmlformats.org/officeDocument/2006/relationships/ctrlProp" Target="../ctrlProps/ctrlProp73.xml"/><Relationship Id="rId152" Type="http://schemas.openxmlformats.org/officeDocument/2006/relationships/ctrlProp" Target="../ctrlProps/ctrlProp143.xml"/><Relationship Id="rId19" Type="http://schemas.openxmlformats.org/officeDocument/2006/relationships/ctrlProp" Target="../ctrlProps/ctrlProp10.xml"/><Relationship Id="rId14" Type="http://schemas.openxmlformats.org/officeDocument/2006/relationships/ctrlProp" Target="../ctrlProps/ctrlProp5.xml"/><Relationship Id="rId30" Type="http://schemas.openxmlformats.org/officeDocument/2006/relationships/ctrlProp" Target="../ctrlProps/ctrlProp21.xml"/><Relationship Id="rId35" Type="http://schemas.openxmlformats.org/officeDocument/2006/relationships/ctrlProp" Target="../ctrlProps/ctrlProp26.xml"/><Relationship Id="rId56" Type="http://schemas.openxmlformats.org/officeDocument/2006/relationships/ctrlProp" Target="../ctrlProps/ctrlProp47.xml"/><Relationship Id="rId77" Type="http://schemas.openxmlformats.org/officeDocument/2006/relationships/ctrlProp" Target="../ctrlProps/ctrlProp68.xml"/><Relationship Id="rId100" Type="http://schemas.openxmlformats.org/officeDocument/2006/relationships/ctrlProp" Target="../ctrlProps/ctrlProp91.xml"/><Relationship Id="rId105" Type="http://schemas.openxmlformats.org/officeDocument/2006/relationships/ctrlProp" Target="../ctrlProps/ctrlProp96.xml"/><Relationship Id="rId126" Type="http://schemas.openxmlformats.org/officeDocument/2006/relationships/ctrlProp" Target="../ctrlProps/ctrlProp117.xml"/><Relationship Id="rId147" Type="http://schemas.openxmlformats.org/officeDocument/2006/relationships/ctrlProp" Target="../ctrlProps/ctrlProp138.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93" Type="http://schemas.openxmlformats.org/officeDocument/2006/relationships/ctrlProp" Target="../ctrlProps/ctrlProp84.xml"/><Relationship Id="rId98" Type="http://schemas.openxmlformats.org/officeDocument/2006/relationships/ctrlProp" Target="../ctrlProps/ctrlProp89.xml"/><Relationship Id="rId121" Type="http://schemas.openxmlformats.org/officeDocument/2006/relationships/ctrlProp" Target="../ctrlProps/ctrlProp112.xml"/><Relationship Id="rId142" Type="http://schemas.openxmlformats.org/officeDocument/2006/relationships/ctrlProp" Target="../ctrlProps/ctrlProp133.xml"/><Relationship Id="rId3" Type="http://schemas.openxmlformats.org/officeDocument/2006/relationships/hyperlink" Target="http://www.rvo.nl/isde-isolatie" TargetMode="External"/><Relationship Id="rId25" Type="http://schemas.openxmlformats.org/officeDocument/2006/relationships/ctrlProp" Target="../ctrlProps/ctrlProp16.xml"/><Relationship Id="rId46" Type="http://schemas.openxmlformats.org/officeDocument/2006/relationships/ctrlProp" Target="../ctrlProps/ctrlProp37.xml"/><Relationship Id="rId67" Type="http://schemas.openxmlformats.org/officeDocument/2006/relationships/ctrlProp" Target="../ctrlProps/ctrlProp58.xml"/><Relationship Id="rId116" Type="http://schemas.openxmlformats.org/officeDocument/2006/relationships/ctrlProp" Target="../ctrlProps/ctrlProp107.xml"/><Relationship Id="rId137" Type="http://schemas.openxmlformats.org/officeDocument/2006/relationships/ctrlProp" Target="../ctrlProps/ctrlProp128.xml"/><Relationship Id="rId158" Type="http://schemas.openxmlformats.org/officeDocument/2006/relationships/ctrlProp" Target="../ctrlProps/ctrlProp14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08070-2492-4A7C-A539-0AEACF9B4667}">
  <sheetPr codeName="Blad1">
    <pageSetUpPr fitToPage="1"/>
  </sheetPr>
  <dimension ref="A1:Q190"/>
  <sheetViews>
    <sheetView tabSelected="1" zoomScaleNormal="100" workbookViewId="0">
      <selection activeCell="G30" sqref="G30"/>
    </sheetView>
  </sheetViews>
  <sheetFormatPr defaultColWidth="9.140625" defaultRowHeight="15"/>
  <cols>
    <col min="1" max="1" width="40.140625" style="9" customWidth="1"/>
    <col min="2" max="2" width="1.7109375" style="9" customWidth="1"/>
    <col min="3" max="3" width="40.7109375" style="9" customWidth="1"/>
    <col min="4" max="4" width="1.7109375" style="9" customWidth="1"/>
    <col min="5" max="5" width="40.7109375" style="9" customWidth="1"/>
    <col min="6" max="6" width="1.7109375" style="9" customWidth="1"/>
    <col min="7" max="7" width="18.7109375" style="9" customWidth="1"/>
    <col min="8" max="8" width="1.7109375" style="9" customWidth="1"/>
    <col min="9" max="9" width="15.7109375" style="9" customWidth="1"/>
    <col min="10" max="10" width="1.7109375" style="9" customWidth="1"/>
    <col min="11" max="11" width="12.7109375" style="9" customWidth="1"/>
    <col min="12" max="12" width="1.7109375" style="9" customWidth="1"/>
    <col min="13" max="13" width="13.7109375" style="9" customWidth="1"/>
    <col min="14" max="14" width="1.7109375" style="9" customWidth="1"/>
    <col min="15" max="15" width="13.7109375" style="9" customWidth="1"/>
    <col min="16" max="16" width="2.7109375" style="9" customWidth="1"/>
    <col min="17" max="17" width="91.140625" style="9" customWidth="1"/>
    <col min="18" max="16384" width="9.140625" style="9"/>
  </cols>
  <sheetData>
    <row r="1" spans="1:16" ht="135.75" customHeight="1">
      <c r="A1" s="8"/>
      <c r="B1" s="8"/>
      <c r="C1" s="8"/>
      <c r="D1" s="8"/>
      <c r="E1" s="8"/>
      <c r="F1" s="8"/>
      <c r="G1" s="8"/>
      <c r="H1" s="8"/>
      <c r="I1" s="8"/>
      <c r="J1" s="8"/>
      <c r="K1" s="8"/>
      <c r="L1" s="8"/>
      <c r="M1" s="8"/>
      <c r="N1" s="8"/>
      <c r="O1" s="8"/>
      <c r="P1" s="8"/>
    </row>
    <row r="2" spans="1:16" ht="36.75" customHeight="1">
      <c r="A2" s="88" t="s">
        <v>166</v>
      </c>
      <c r="B2" s="10"/>
      <c r="C2" s="10"/>
    </row>
    <row r="3" spans="1:16">
      <c r="A3" s="9" t="s">
        <v>279</v>
      </c>
    </row>
    <row r="5" spans="1:16" ht="68.25" customHeight="1">
      <c r="A5" s="159" t="s">
        <v>164</v>
      </c>
      <c r="B5" s="159"/>
      <c r="C5" s="160"/>
      <c r="D5" s="160"/>
      <c r="E5" s="160"/>
      <c r="F5" s="160"/>
      <c r="G5" s="160"/>
      <c r="H5" s="160"/>
      <c r="I5" s="160"/>
      <c r="J5" s="160"/>
      <c r="K5" s="160"/>
      <c r="L5" s="160"/>
      <c r="M5" s="160"/>
      <c r="N5" s="160"/>
      <c r="O5" s="160"/>
    </row>
    <row r="6" spans="1:16" ht="33.75" customHeight="1">
      <c r="A6" s="43"/>
      <c r="B6" s="43"/>
      <c r="C6" s="46"/>
      <c r="D6" s="46"/>
      <c r="E6" s="46"/>
      <c r="F6" s="46"/>
      <c r="G6" s="46"/>
      <c r="H6" s="46"/>
      <c r="I6" s="46"/>
      <c r="J6" s="46"/>
    </row>
    <row r="7" spans="1:16" ht="33.75" customHeight="1">
      <c r="A7" s="57" t="s">
        <v>69</v>
      </c>
      <c r="B7" s="43"/>
      <c r="C7" s="46"/>
      <c r="D7" s="46"/>
      <c r="E7" s="46"/>
      <c r="F7" s="46"/>
      <c r="G7" s="46"/>
      <c r="H7" s="46"/>
      <c r="I7" s="46"/>
      <c r="J7" s="46"/>
    </row>
    <row r="8" spans="1:16" ht="20.100000000000001" customHeight="1">
      <c r="A8" s="175" t="s">
        <v>2</v>
      </c>
      <c r="B8" s="175"/>
      <c r="C8" s="176"/>
    </row>
    <row r="9" spans="1:16" ht="20.100000000000001" customHeight="1">
      <c r="A9" s="11" t="s">
        <v>0</v>
      </c>
      <c r="B9" s="11"/>
      <c r="C9" s="48"/>
    </row>
    <row r="10" spans="1:16" ht="20.100000000000001" customHeight="1">
      <c r="A10" s="11" t="s">
        <v>9</v>
      </c>
      <c r="B10" s="12"/>
      <c r="C10" s="48"/>
    </row>
    <row r="11" spans="1:16" ht="20.100000000000001" customHeight="1">
      <c r="A11" s="47" t="s">
        <v>1</v>
      </c>
      <c r="B11" s="47"/>
      <c r="C11" s="48"/>
    </row>
    <row r="14" spans="1:16">
      <c r="A14" s="166" t="s">
        <v>143</v>
      </c>
      <c r="B14" s="166"/>
      <c r="C14" s="167"/>
      <c r="D14" s="168"/>
      <c r="E14" s="168"/>
      <c r="F14" s="169"/>
      <c r="G14" s="169"/>
    </row>
    <row r="15" spans="1:16" ht="20.100000000000001" customHeight="1">
      <c r="A15" s="49"/>
      <c r="B15" s="49"/>
      <c r="C15" s="50"/>
    </row>
    <row r="16" spans="1:16" ht="20.25">
      <c r="A16" s="56" t="s">
        <v>64</v>
      </c>
      <c r="B16" s="49"/>
      <c r="C16" s="50"/>
    </row>
    <row r="17" spans="1:17" ht="23.25">
      <c r="A17" s="13"/>
      <c r="B17" s="49"/>
      <c r="C17" s="50"/>
    </row>
    <row r="18" spans="1:17" ht="15.75">
      <c r="A18" s="54" t="s">
        <v>65</v>
      </c>
      <c r="B18" s="49"/>
      <c r="C18" s="50"/>
      <c r="E18" s="83" t="str">
        <f>IF(Hulpblad!B4=1,"",IF(Hulpblad!B4=2,"Let op: U kunt voor dezelfde isolatietechniek niet nogmaals subsidie aanvragen!","Let op: U kunt voor dezelfde isolatietechniek niet nogmaals subsidie aanvragen. Uitzondering hierop zijn glasmaatregelen, daar mag u binnen 24 maanden wel een 2e aanvraag voor indienen."))</f>
        <v/>
      </c>
    </row>
    <row r="19" spans="1:17" ht="15.75">
      <c r="A19" s="14"/>
      <c r="B19" s="49"/>
      <c r="C19" s="50"/>
      <c r="E19" s="83" t="str">
        <f>IF(Hulpblad!B4=1,"",IF(Hulpblad!B4=2,"","De eerder gesubsidieerde en uitgevoerde maatregelen die langer dan 24 maanden geleden zijn geïnstalleerd tellen wel mee voor de twee-maatregelen eis."))</f>
        <v/>
      </c>
    </row>
    <row r="20" spans="1:17" ht="15.75">
      <c r="A20" s="14"/>
      <c r="B20" s="49"/>
      <c r="C20" s="50"/>
    </row>
    <row r="21" spans="1:17" ht="15.75">
      <c r="A21" s="14"/>
      <c r="B21" s="49"/>
      <c r="C21" s="50"/>
      <c r="E21" s="15"/>
    </row>
    <row r="22" spans="1:17" ht="15.75">
      <c r="A22" s="49"/>
      <c r="B22" s="49"/>
      <c r="C22" s="50"/>
    </row>
    <row r="23" spans="1:17" ht="20.25">
      <c r="A23" s="55" t="s">
        <v>70</v>
      </c>
      <c r="Q23" s="51"/>
    </row>
    <row r="24" spans="1:17">
      <c r="A24" s="83" t="s">
        <v>71</v>
      </c>
      <c r="B24" s="15"/>
      <c r="C24" s="15"/>
      <c r="D24" s="15"/>
      <c r="E24" s="16"/>
      <c r="Q24" s="51"/>
    </row>
    <row r="25" spans="1:17">
      <c r="A25" s="83" t="s">
        <v>368</v>
      </c>
      <c r="B25" s="15"/>
      <c r="C25" s="15"/>
      <c r="D25" s="15"/>
      <c r="E25" s="16"/>
      <c r="Q25" s="51"/>
    </row>
    <row r="26" spans="1:17">
      <c r="A26" s="83" t="s">
        <v>369</v>
      </c>
      <c r="B26" s="15"/>
      <c r="C26" s="15"/>
      <c r="D26" s="15"/>
      <c r="Q26" s="51"/>
    </row>
    <row r="27" spans="1:17" ht="42" customHeight="1">
      <c r="C27" s="122" t="s">
        <v>91</v>
      </c>
      <c r="E27" s="121" t="s">
        <v>61</v>
      </c>
      <c r="G27" s="59" t="s">
        <v>130</v>
      </c>
      <c r="I27" s="59" t="s">
        <v>131</v>
      </c>
      <c r="K27" s="60" t="s">
        <v>132</v>
      </c>
      <c r="M27" s="58" t="s">
        <v>133</v>
      </c>
      <c r="O27" s="59" t="s">
        <v>134</v>
      </c>
      <c r="Q27" s="51"/>
    </row>
    <row r="28" spans="1:17" ht="15" customHeight="1">
      <c r="A28" s="51" t="s">
        <v>38</v>
      </c>
      <c r="E28" s="46"/>
      <c r="G28" s="61" t="str">
        <f>""&amp;VLOOKUP(Hulpblad!C20,Hulpblad!C318:I378,3,FALSE)&amp;" - "&amp;VLOOKUP(Hulpblad!C20,Hulpblad!C318:I378,4,FALSE)&amp;""</f>
        <v xml:space="preserve"> - </v>
      </c>
      <c r="I28" s="62">
        <f>VLOOKUP(Hulpblad!C20,Hulpblad!C318:I378,7,FALSE)</f>
        <v>0</v>
      </c>
      <c r="K28" s="63"/>
      <c r="L28" s="51"/>
      <c r="M28" s="141">
        <f>IF(AND(I28&gt;0,I34&gt;0,K28&gt;0,(K28+K34&gt;=20)),MIN(200,K28),
IF(AND(I28&gt;0,K28&gt;=20),MIN(200,K28),0))</f>
        <v>0</v>
      </c>
      <c r="N28" s="51"/>
      <c r="O28" s="65">
        <f>I28*M28</f>
        <v>0</v>
      </c>
      <c r="Q28" s="177" t="str">
        <f>IF(Hulpblad!C13="Geen dakisolatie","",
IF(Hulpblad!B19=1,"Vul in wanneer de isolatie is aangebracht",
IF(K28=0,"Vul in de blauwe cel het aantal m² te isoleren oppervlak in",
IF(AND(I34&gt;0,K28+K34&gt;=20),"",
IF(K28&lt;20,"U voldoet niet aan het minimum oppervlakte aan gecombineerde dak, zolder- en vlieringisolatie om voor subsidie in aanmerking te komen.","")))))</f>
        <v/>
      </c>
    </row>
    <row r="29" spans="1:17" ht="15" customHeight="1">
      <c r="Q29" s="180"/>
    </row>
    <row r="30" spans="1:17" ht="15" customHeight="1">
      <c r="Q30" s="51"/>
    </row>
    <row r="31" spans="1:17" ht="15" customHeight="1">
      <c r="Q31" s="51"/>
    </row>
    <row r="32" spans="1:17" ht="15" customHeight="1">
      <c r="Q32" s="51"/>
    </row>
    <row r="33" spans="1:17" ht="15" customHeight="1">
      <c r="Q33" s="51"/>
    </row>
    <row r="34" spans="1:17" ht="15" customHeight="1">
      <c r="A34" s="137" t="s">
        <v>303</v>
      </c>
      <c r="E34" s="46"/>
      <c r="G34" s="61" t="str">
        <f>""&amp;VLOOKUP(Hulpblad!C32,Hulpblad!C318:I378,3,FALSE)&amp;" - "&amp;VLOOKUP(Hulpblad!C32,Hulpblad!C318:I378,4,FALSE)&amp;""</f>
        <v xml:space="preserve"> - </v>
      </c>
      <c r="I34" s="62">
        <f>VLOOKUP(Hulpblad!C32,Hulpblad!C318:I378,7,FALSE)</f>
        <v>0</v>
      </c>
      <c r="K34" s="63"/>
      <c r="L34" s="51"/>
      <c r="M34" s="141">
        <f>IF(AND(I28&gt;0,I34&gt;0,K34&gt;0,(K28+K34&gt;=20)),MIN(200-M28,130,K34),
IF(AND(I34&gt;0,K34&gt;=20),MIN(130,K34),0))</f>
        <v>0</v>
      </c>
      <c r="N34" s="51"/>
      <c r="O34" s="65">
        <f>I34*M34</f>
        <v>0</v>
      </c>
      <c r="Q34" s="177" t="str">
        <f>IF(Hulpblad!C25="Geen zolder- of vlieringisolatie","",
IF(Hulpblad!B31=1,"Vul in wanneer de isolatie is aangebracht",
IF(K34=0,"Vul in de blauwe cel het aantal m² te isoleren oppervlak in",
IF(AND(K34&gt;0,M34&lt;K34),"Het subsidiabele aantal m2 is gemaximaliseerd op 130 m2 zolder-of vlieringisolatie of het maximum subsidiabele oppervlak van dak, zolder-en vlieringisolatie samen van 200 m2",
IF(AND(I28&gt;0,K28+K34&gt;=20),"",
IF(K34&lt;20,"U voldoet niet aan het minimum oppervlakte aan gecombineerde dak, zolder- en vlieringisolatie om voor subsidie in aanmerking te komen.",""))))))</f>
        <v/>
      </c>
    </row>
    <row r="35" spans="1:17" ht="15" customHeight="1">
      <c r="Q35" s="174"/>
    </row>
    <row r="36" spans="1:17" ht="15" customHeight="1">
      <c r="Q36" s="51"/>
    </row>
    <row r="37" spans="1:17" ht="15" customHeight="1">
      <c r="Q37" s="51"/>
    </row>
    <row r="38" spans="1:17" ht="15" customHeight="1">
      <c r="Q38" s="51"/>
    </row>
    <row r="39" spans="1:17" ht="15" customHeight="1">
      <c r="Q39" s="51"/>
    </row>
    <row r="40" spans="1:17" ht="15" customHeight="1">
      <c r="A40" s="51" t="s">
        <v>39</v>
      </c>
      <c r="G40" s="61" t="str">
        <f>""&amp;VLOOKUP(Hulpblad!C44,Hulpblad!C318:I378,3,FALSE)&amp;" - "&amp;VLOOKUP(Hulpblad!C44,Hulpblad!C318:I378,4,FALSE)&amp;""</f>
        <v xml:space="preserve"> - </v>
      </c>
      <c r="H40" s="51"/>
      <c r="I40" s="62">
        <f>VLOOKUP(Hulpblad!C44,Hulpblad!C318:I378,7,FALSE)</f>
        <v>0</v>
      </c>
      <c r="J40" s="51"/>
      <c r="K40" s="63"/>
      <c r="L40" s="51"/>
      <c r="M40" s="64">
        <f>IF(AND($I40&gt;0,$K40&gt;=10),MIN(170,$K40),0)</f>
        <v>0</v>
      </c>
      <c r="N40" s="51"/>
      <c r="O40" s="65">
        <f>I40*M40</f>
        <v>0</v>
      </c>
      <c r="Q40" s="83" t="str">
        <f>IF(Hulpblad!C37="Geen gevelisolatie","",
IF(Hulpblad!B43=1,"Vul in wanneer de isolatie is aangebracht",
IF(K40=0,"Vul in de blauwe cel het aantal m² te isoleren oppervlak in",
IF(K40&lt;Hulpblad!E328,"U voldoet niet aan het minimum oppervlakte om voor subsidie in aanmerking te komen.",""))))</f>
        <v/>
      </c>
    </row>
    <row r="41" spans="1:17" ht="15" customHeight="1">
      <c r="G41" s="66"/>
      <c r="H41" s="51"/>
      <c r="I41" s="67"/>
      <c r="J41" s="51"/>
      <c r="K41" s="89"/>
      <c r="L41" s="51"/>
      <c r="M41" s="51"/>
      <c r="N41" s="51"/>
      <c r="O41" s="68"/>
      <c r="Q41" s="83"/>
    </row>
    <row r="42" spans="1:17" ht="15" customHeight="1">
      <c r="G42" s="66"/>
      <c r="H42" s="51"/>
      <c r="I42" s="67"/>
      <c r="J42" s="51"/>
      <c r="K42" s="89"/>
      <c r="L42" s="51"/>
      <c r="M42" s="51"/>
      <c r="N42" s="51"/>
      <c r="O42" s="68"/>
      <c r="Q42" s="83"/>
    </row>
    <row r="43" spans="1:17" ht="15" customHeight="1">
      <c r="G43" s="66"/>
      <c r="H43" s="51"/>
      <c r="I43" s="67"/>
      <c r="J43" s="51"/>
      <c r="K43" s="89"/>
      <c r="L43" s="51"/>
      <c r="M43" s="51"/>
      <c r="N43" s="51"/>
      <c r="O43" s="68"/>
      <c r="Q43" s="83"/>
    </row>
    <row r="44" spans="1:17" ht="15" customHeight="1">
      <c r="G44" s="66"/>
      <c r="H44" s="51"/>
      <c r="I44" s="67"/>
      <c r="J44" s="51"/>
      <c r="K44" s="89"/>
      <c r="L44" s="51"/>
      <c r="M44" s="51"/>
      <c r="N44" s="51"/>
      <c r="O44" s="68"/>
      <c r="Q44" s="83"/>
    </row>
    <row r="45" spans="1:17" ht="15" customHeight="1">
      <c r="G45" s="66"/>
      <c r="H45" s="51"/>
      <c r="I45" s="67"/>
      <c r="J45" s="51"/>
      <c r="K45" s="89"/>
      <c r="L45" s="51"/>
      <c r="M45" s="51"/>
      <c r="N45" s="51"/>
      <c r="O45" s="68"/>
      <c r="Q45" s="83"/>
    </row>
    <row r="46" spans="1:17" ht="15" customHeight="1">
      <c r="A46" s="51" t="s">
        <v>40</v>
      </c>
      <c r="G46" s="61" t="str">
        <f>""&amp;VLOOKUP(Hulpblad!C56,Hulpblad!C318:I378,3,FALSE)&amp;" - "&amp;VLOOKUP(Hulpblad!C56,Hulpblad!C318:I378,4,FALSE)&amp;""</f>
        <v xml:space="preserve"> - </v>
      </c>
      <c r="H46" s="51"/>
      <c r="I46" s="62">
        <f>VLOOKUP(Hulpblad!C56,Hulpblad!C318:I378,7,FALSE)</f>
        <v>0</v>
      </c>
      <c r="J46" s="51"/>
      <c r="K46" s="63"/>
      <c r="L46" s="51"/>
      <c r="M46" s="141">
        <f>IF(AND($I46&gt;0,$K46&gt;=10),MIN(170,$K46),0)</f>
        <v>0</v>
      </c>
      <c r="N46" s="51"/>
      <c r="O46" s="65">
        <f>I46*M46</f>
        <v>0</v>
      </c>
      <c r="Q46" s="83" t="str">
        <f>IF(Hulpblad!C49="Geen spouwmuurisolatie","",
IF(Hulpblad!B55=1,"Vul in wanneer de isolatie is aangebracht",
IF(K46=0,"Vul in de blauwe cel het aantal m² te isoleren oppervlak in",
IF(K46&lt;Hulpblad!E329,"U voldoet niet aan het minimum oppervlakte om voor subsidie in aanmerking te komen.",""))))</f>
        <v/>
      </c>
    </row>
    <row r="47" spans="1:17" ht="15" customHeight="1">
      <c r="G47" s="66"/>
      <c r="H47" s="51"/>
      <c r="I47" s="67"/>
      <c r="J47" s="51"/>
      <c r="K47" s="89"/>
      <c r="L47" s="51"/>
      <c r="M47" s="51"/>
      <c r="N47" s="51"/>
      <c r="O47" s="68"/>
      <c r="Q47" s="83"/>
    </row>
    <row r="48" spans="1:17" ht="15" customHeight="1">
      <c r="G48" s="66"/>
      <c r="H48" s="51"/>
      <c r="I48" s="67"/>
      <c r="J48" s="51"/>
      <c r="K48" s="89"/>
      <c r="L48" s="51"/>
      <c r="M48" s="51"/>
      <c r="N48" s="51"/>
      <c r="O48" s="68"/>
      <c r="Q48" s="83"/>
    </row>
    <row r="49" spans="1:17" ht="15" customHeight="1">
      <c r="G49" s="66"/>
      <c r="H49" s="51"/>
      <c r="I49" s="67"/>
      <c r="J49" s="51"/>
      <c r="K49" s="89"/>
      <c r="L49" s="51"/>
      <c r="M49" s="51"/>
      <c r="N49" s="51"/>
      <c r="O49" s="68"/>
      <c r="Q49" s="83"/>
    </row>
    <row r="50" spans="1:17" ht="15" customHeight="1">
      <c r="G50" s="66"/>
      <c r="H50" s="51"/>
      <c r="I50" s="67"/>
      <c r="J50" s="51"/>
      <c r="K50" s="89"/>
      <c r="L50" s="51"/>
      <c r="M50" s="51"/>
      <c r="N50" s="51"/>
      <c r="O50" s="68"/>
      <c r="Q50" s="83"/>
    </row>
    <row r="51" spans="1:17" ht="15" customHeight="1">
      <c r="G51" s="66"/>
      <c r="H51" s="51"/>
      <c r="I51" s="67"/>
      <c r="J51" s="51"/>
      <c r="K51" s="89"/>
      <c r="L51" s="51"/>
      <c r="M51" s="51"/>
      <c r="N51" s="51"/>
      <c r="O51" s="68"/>
      <c r="Q51" s="83"/>
    </row>
    <row r="52" spans="1:17" ht="15" customHeight="1">
      <c r="A52" s="51" t="s">
        <v>41</v>
      </c>
      <c r="G52" s="61" t="str">
        <f>""&amp;VLOOKUP(Hulpblad!C68,Hulpblad!C318:I378,3,FALSE)&amp;" - "&amp;VLOOKUP(Hulpblad!C68,Hulpblad!C318:I378,4,FALSE)&amp;""</f>
        <v xml:space="preserve"> - </v>
      </c>
      <c r="H52" s="51"/>
      <c r="I52" s="62">
        <f>VLOOKUP(Hulpblad!C68,Hulpblad!C318:I378,7,FALSE)</f>
        <v>0</v>
      </c>
      <c r="J52" s="51"/>
      <c r="K52" s="63"/>
      <c r="L52" s="51"/>
      <c r="M52" s="64">
        <f>IF(AND(I52&gt;0,I58&gt;0,K52&gt;0,(K52+K58&gt;=20)),MIN(130,K52),
IF(AND(I52&gt;0,K52&gt;=20),MIN(130,K52),0))</f>
        <v>0</v>
      </c>
      <c r="N52" s="51"/>
      <c r="O52" s="65">
        <f>I52*M52</f>
        <v>0</v>
      </c>
      <c r="Q52" s="177" t="str">
        <f>IF(Hulpblad!C61="Geen vloerisolatie","",
IF(Hulpblad!B67=1,"Vul in wanneer de isolatie is aangebracht",
IF(K52=0,"Vul in de blauwe cel het aantal m² te isoleren oppervlak in",
IF(AND(I58&gt;0,K52+K58&gt;=20),"",
IF(K52&lt;20,"U voldoet niet aan het minimum oppervlakte aan gecombineerde vloer-en bodemisolatie om voor subsidie in aanmerking te komen.","")))))</f>
        <v/>
      </c>
    </row>
    <row r="53" spans="1:17">
      <c r="Q53" s="180"/>
    </row>
    <row r="54" spans="1:17" ht="15" customHeight="1">
      <c r="G54" s="18"/>
      <c r="I54" s="18"/>
      <c r="K54" s="18"/>
      <c r="O54" s="19"/>
      <c r="Q54" s="52"/>
    </row>
    <row r="55" spans="1:17" ht="15" customHeight="1">
      <c r="G55" s="18"/>
      <c r="I55" s="18"/>
      <c r="K55" s="18"/>
      <c r="O55" s="19"/>
      <c r="Q55" s="52"/>
    </row>
    <row r="56" spans="1:17" ht="15" customHeight="1">
      <c r="G56" s="18"/>
      <c r="I56" s="18"/>
      <c r="K56" s="18"/>
      <c r="O56" s="19"/>
      <c r="Q56" s="52"/>
    </row>
    <row r="57" spans="1:17" ht="15" customHeight="1">
      <c r="G57" s="18"/>
      <c r="I57" s="18"/>
      <c r="K57" s="18"/>
      <c r="O57" s="19"/>
      <c r="Q57" s="52"/>
    </row>
    <row r="58" spans="1:17" ht="15" customHeight="1">
      <c r="A58" s="51" t="s">
        <v>41</v>
      </c>
      <c r="G58" s="61" t="str">
        <f>""&amp;VLOOKUP(Hulpblad!C80,Hulpblad!C318:I378,3,FALSE)&amp;" - "&amp;VLOOKUP(Hulpblad!C80,Hulpblad!C318:I378,4,FALSE)&amp;""</f>
        <v xml:space="preserve"> - </v>
      </c>
      <c r="H58" s="51"/>
      <c r="I58" s="62">
        <f>VLOOKUP(Hulpblad!C80,Hulpblad!C318:I378,7,FALSE)</f>
        <v>0</v>
      </c>
      <c r="J58" s="51"/>
      <c r="K58" s="63"/>
      <c r="L58" s="51"/>
      <c r="M58" s="64">
        <f>IF(AND(I52&gt;0,I58&gt;0,K58&gt;0,(K52+K58&gt;=20)),MIN(130-M52,130,K58),
IF(AND(I58&gt;0,K58&gt;=20),MIN(130,K58),0))</f>
        <v>0</v>
      </c>
      <c r="N58" s="51"/>
      <c r="O58" s="65">
        <f>I58*M58</f>
        <v>0</v>
      </c>
      <c r="Q58" s="177" t="str">
        <f>IF(Hulpblad!C73="Geen bodemisolatie","",
IF(Hulpblad!B79=1,"Vul in wanneer de isolatie is aangebracht",
IF(K58=0,"Vul in de blauwe cel het aantal m² te isoleren oppervlak in",
IF(AND(K58&gt;0,M58&lt;K58),"Het subsidiabele aantal m2 is gemaximaliseerd op 130 m2 vloerisolatie of het maximum subsidiabele oppervlak van vloer-en bodemisolatie samen van 130 m2",
IF(AND(I52&gt;0,K52+K58&gt;=20),"",
IF(K58&lt;20,"U voldoet niet aan het minimum oppervlakte aan gecombineerde vloer-en bodemisolatie om voor subsidie in aanmerking te komen.",""))))))</f>
        <v/>
      </c>
    </row>
    <row r="59" spans="1:17">
      <c r="Q59" s="180"/>
    </row>
    <row r="60" spans="1:17" ht="15" customHeight="1">
      <c r="G60" s="18"/>
      <c r="I60" s="18"/>
      <c r="K60" s="18"/>
      <c r="O60" s="19"/>
      <c r="Q60" s="52"/>
    </row>
    <row r="61" spans="1:17" ht="15" customHeight="1">
      <c r="G61" s="18"/>
      <c r="I61" s="18"/>
      <c r="K61" s="18"/>
      <c r="O61" s="19"/>
      <c r="Q61" s="52"/>
    </row>
    <row r="62" spans="1:17" ht="15" customHeight="1">
      <c r="G62" s="18"/>
      <c r="I62" s="18"/>
      <c r="K62" s="18"/>
      <c r="O62" s="19"/>
      <c r="Q62" s="52"/>
    </row>
    <row r="63" spans="1:17" ht="15" customHeight="1">
      <c r="G63" s="18"/>
      <c r="I63" s="18"/>
      <c r="K63" s="18"/>
      <c r="O63" s="19"/>
      <c r="Q63" s="52"/>
    </row>
    <row r="64" spans="1:17" ht="30" customHeight="1">
      <c r="A64" s="51" t="s">
        <v>129</v>
      </c>
      <c r="I64" s="178" t="s">
        <v>165</v>
      </c>
      <c r="Q64" s="51"/>
    </row>
    <row r="65" spans="1:17" ht="15" customHeight="1">
      <c r="A65" s="51" t="s">
        <v>90</v>
      </c>
      <c r="I65" s="179"/>
      <c r="J65" s="51"/>
      <c r="K65" s="51"/>
      <c r="L65" s="51"/>
      <c r="M65" s="51"/>
      <c r="N65" s="51"/>
      <c r="O65" s="51" t="s">
        <v>135</v>
      </c>
      <c r="Q65" s="51"/>
    </row>
    <row r="66" spans="1:17" ht="15" customHeight="1">
      <c r="I66" s="51"/>
      <c r="J66" s="51"/>
      <c r="K66" s="51"/>
      <c r="L66" s="51"/>
      <c r="M66" s="51"/>
      <c r="N66" s="51"/>
      <c r="O66" s="51"/>
      <c r="Q66" s="51"/>
    </row>
    <row r="67" spans="1:17" ht="15" customHeight="1">
      <c r="I67" s="115">
        <f>IF(Hulpblad!B84=FALSE,0,VLOOKUP(Hulpblad!C20,Hulpblad!$C$319:$I$379,5,FALSE))</f>
        <v>0</v>
      </c>
      <c r="J67" s="51"/>
      <c r="K67" s="51"/>
      <c r="L67" s="51"/>
      <c r="M67" s="51"/>
      <c r="N67" s="51"/>
      <c r="O67" s="115">
        <f>M28*I67</f>
        <v>0</v>
      </c>
      <c r="Q67" s="83" t="str">
        <f>IF(AND(O28&gt;0,Hulpblad!B19&lt;3,Hulpblad!B84=TRUE),"U komt niet in aanmerking voor een MKI-bonus omdat de dakisolatie-maatregel vóór 1 januari 2024 is uitgevoerd.","")</f>
        <v/>
      </c>
    </row>
    <row r="68" spans="1:17" ht="15" customHeight="1">
      <c r="I68" s="135"/>
      <c r="J68" s="51"/>
      <c r="K68" s="51"/>
      <c r="L68" s="51"/>
      <c r="M68" s="51"/>
      <c r="N68" s="51"/>
      <c r="O68" s="135"/>
      <c r="Q68" s="83"/>
    </row>
    <row r="69" spans="1:17" ht="15" customHeight="1">
      <c r="I69" s="115">
        <f>IF(Hulpblad!B85=FALSE,0,VLOOKUP(Hulpblad!C32,Hulpblad!$C$319:$I$379,5,FALSE))</f>
        <v>0</v>
      </c>
      <c r="J69" s="51"/>
      <c r="K69" s="51"/>
      <c r="L69" s="51"/>
      <c r="M69" s="51"/>
      <c r="N69" s="51"/>
      <c r="O69" s="115">
        <f>M34*I69</f>
        <v>0</v>
      </c>
      <c r="Q69" s="83" t="str">
        <f>IF(AND(O34&gt;0,Hulpblad!B31&lt;3,Hulpblad!B84=TRUE),"U komt niet in aanmerking voor een MKI-bonus omdat de zolder-of vlieringisolatie-maatregel vóór 1 januari 2024 is uitgevoerd.","")</f>
        <v/>
      </c>
    </row>
    <row r="70" spans="1:17" ht="15" customHeight="1">
      <c r="I70" s="135"/>
      <c r="J70" s="51"/>
      <c r="K70" s="51"/>
      <c r="L70" s="51"/>
      <c r="M70" s="51"/>
      <c r="N70" s="51"/>
      <c r="O70" s="135"/>
      <c r="Q70" s="51"/>
    </row>
    <row r="71" spans="1:17" ht="15" customHeight="1">
      <c r="I71" s="115">
        <f>IF(Hulpblad!B86=FALSE,0,VLOOKUP(Hulpblad!C44,Hulpblad!$C$319:$I$379,5,FALSE))</f>
        <v>0</v>
      </c>
      <c r="J71" s="51"/>
      <c r="K71" s="51"/>
      <c r="L71" s="51"/>
      <c r="M71" s="51"/>
      <c r="N71" s="51"/>
      <c r="O71" s="115">
        <f>M40*I71</f>
        <v>0</v>
      </c>
      <c r="Q71" s="83" t="str">
        <f>IF(AND(O40&gt;0,Hulpblad!B43&lt;3,Hulpblad!B86=TRUE),"U komt niet in aanmerking voor een MKI-bonus omdat de gevelisolatie-maatregel vóór 1 januari 2024 is uitgevoerd.","")</f>
        <v/>
      </c>
    </row>
    <row r="72" spans="1:17" ht="15" customHeight="1">
      <c r="I72" s="135"/>
      <c r="J72" s="51"/>
      <c r="K72" s="51"/>
      <c r="L72" s="51"/>
      <c r="M72" s="51"/>
      <c r="N72" s="51"/>
      <c r="O72" s="135"/>
      <c r="Q72" s="51"/>
    </row>
    <row r="73" spans="1:17" ht="15" customHeight="1">
      <c r="I73" s="115">
        <f>IF(Hulpblad!B87=FALSE,0,VLOOKUP(Hulpblad!C56,Hulpblad!$C$319:$I$379,5,FALSE))</f>
        <v>0</v>
      </c>
      <c r="J73" s="51"/>
      <c r="K73" s="51"/>
      <c r="L73" s="51"/>
      <c r="M73" s="51"/>
      <c r="N73" s="51"/>
      <c r="O73" s="115">
        <f>M46*I73</f>
        <v>0</v>
      </c>
      <c r="Q73" s="83" t="str">
        <f>IF(AND(O46&gt;0,Hulpblad!B55&lt;3,Hulpblad!B87=TRUE),"U komt niet in aanmerking voor een MKI-bonus omdat de spouwmuurisolatie-maatregel vóór 1 januari 2024 is uitgevoerd.","")</f>
        <v/>
      </c>
    </row>
    <row r="74" spans="1:17" ht="15" customHeight="1">
      <c r="I74" s="135"/>
      <c r="J74" s="51"/>
      <c r="K74" s="51"/>
      <c r="L74" s="51"/>
      <c r="M74" s="51"/>
      <c r="N74" s="51"/>
      <c r="O74" s="135"/>
      <c r="Q74" s="51"/>
    </row>
    <row r="75" spans="1:17" ht="15" customHeight="1">
      <c r="A75" s="20"/>
      <c r="I75" s="115">
        <f>IF(Hulpblad!B88=FALSE,0,VLOOKUP(Hulpblad!C68,Hulpblad!$C$319:$I$379,5,FALSE))</f>
        <v>0</v>
      </c>
      <c r="J75" s="51"/>
      <c r="K75" s="51"/>
      <c r="L75" s="51"/>
      <c r="M75" s="51"/>
      <c r="N75" s="51"/>
      <c r="O75" s="115">
        <f>M52*I75</f>
        <v>0</v>
      </c>
      <c r="Q75" s="83" t="str">
        <f>IF(AND(O52&gt;0,Hulpblad!B67&lt;3,Hulpblad!B88=TRUE),"U komt niet in aanmerking voor een MKI-bonus omdat de vloerisolatie-maatregel vóór 1 januari 2024 is uitgevoerd.","")</f>
        <v/>
      </c>
    </row>
    <row r="76" spans="1:17" ht="15" customHeight="1">
      <c r="A76" s="20"/>
      <c r="I76" s="135"/>
      <c r="J76" s="51"/>
      <c r="K76" s="51"/>
      <c r="L76" s="51"/>
      <c r="M76" s="51"/>
      <c r="N76" s="51"/>
      <c r="O76" s="135"/>
      <c r="Q76" s="83"/>
    </row>
    <row r="77" spans="1:17" ht="15" customHeight="1">
      <c r="A77" s="20"/>
      <c r="I77" s="136">
        <f>IF(Hulpblad!B89=FALSE,0,VLOOKUP(Hulpblad!C80,Hulpblad!$C$319:$I$379,5,FALSE))</f>
        <v>0</v>
      </c>
      <c r="O77" s="136">
        <f>M58*I77</f>
        <v>0</v>
      </c>
      <c r="Q77" s="83" t="str">
        <f>IF(AND(O58&gt;0,Hulpblad!B79&lt;3,Hulpblad!B88=TRUE),"U komt niet in aanmerking voor een MKI-bonus omdat de vloerisolatie-maatregel vóór 1 januari 2024 is uitgevoerd.","")</f>
        <v/>
      </c>
    </row>
    <row r="78" spans="1:17" ht="15" customHeight="1">
      <c r="A78" s="20"/>
      <c r="O78" s="139"/>
      <c r="Q78" s="51"/>
    </row>
    <row r="79" spans="1:17" ht="15" customHeight="1">
      <c r="A79" s="20"/>
      <c r="Q79" s="152"/>
    </row>
    <row r="80" spans="1:17">
      <c r="A80" s="52" t="s">
        <v>76</v>
      </c>
      <c r="D80" s="21"/>
      <c r="E80" s="21"/>
      <c r="F80" s="21"/>
      <c r="G80" s="21"/>
      <c r="H80" s="21"/>
      <c r="I80" s="21"/>
      <c r="J80" s="21"/>
      <c r="Q80" s="51"/>
    </row>
    <row r="81" spans="1:17" ht="15" customHeight="1">
      <c r="D81" s="21"/>
      <c r="F81" s="21"/>
      <c r="H81" s="21"/>
      <c r="J81" s="21"/>
      <c r="Q81" s="51"/>
    </row>
    <row r="82" spans="1:17" ht="66.75">
      <c r="A82" s="53" t="s">
        <v>75</v>
      </c>
      <c r="D82" s="21"/>
      <c r="E82" s="153" t="s">
        <v>437</v>
      </c>
      <c r="F82" s="21"/>
      <c r="G82" s="69" t="s">
        <v>136</v>
      </c>
      <c r="H82" s="21"/>
      <c r="I82" s="69" t="s">
        <v>131</v>
      </c>
      <c r="J82" s="70"/>
      <c r="K82" s="71" t="s">
        <v>132</v>
      </c>
      <c r="L82" s="51"/>
      <c r="M82" s="69" t="s">
        <v>137</v>
      </c>
      <c r="N82" s="51"/>
      <c r="O82" s="69" t="s">
        <v>134</v>
      </c>
      <c r="Q82" s="51"/>
    </row>
    <row r="83" spans="1:17">
      <c r="D83" s="21"/>
      <c r="E83" s="21"/>
      <c r="F83" s="21"/>
      <c r="G83" s="21"/>
      <c r="H83" s="21"/>
      <c r="I83" s="70"/>
      <c r="J83" s="70"/>
      <c r="K83" s="51"/>
      <c r="L83" s="51"/>
      <c r="M83" s="51"/>
      <c r="N83" s="51"/>
      <c r="O83" s="51"/>
      <c r="Q83" s="51"/>
    </row>
    <row r="84" spans="1:17">
      <c r="D84" s="21"/>
      <c r="E84" s="21"/>
      <c r="F84" s="21"/>
      <c r="G84" s="21"/>
      <c r="H84" s="21"/>
      <c r="I84" s="70"/>
      <c r="J84" s="70"/>
      <c r="K84" s="51"/>
      <c r="L84" s="51"/>
      <c r="M84" s="51"/>
      <c r="N84" s="51"/>
      <c r="O84" s="51"/>
      <c r="Q84" s="51"/>
    </row>
    <row r="85" spans="1:17">
      <c r="A85" s="51" t="str">
        <f>Hulpblad!B169</f>
        <v>Niet van toepassing</v>
      </c>
      <c r="D85" s="21"/>
      <c r="F85" s="21"/>
      <c r="G85" s="170" t="str">
        <f>IF(Hulpblad!B93=1,"","Bij uitvoering vóór 2025 geldt 8 - 45. 
Bij uitvoering (ook) in 2025 geldt 3 - 45")</f>
        <v/>
      </c>
      <c r="H85" s="21"/>
      <c r="I85" s="62">
        <f>IF(A85="Niet van toepassing",0,VLOOKUP(Hulpblad!C104,Hulpblad!C272:I317,7,FALSE))</f>
        <v>0</v>
      </c>
      <c r="J85" s="70"/>
      <c r="K85" s="72"/>
      <c r="L85" s="51"/>
      <c r="M85" s="64">
        <f>IF(AND(I85&gt;0,K85&gt;0),MIN(45-M87-M90-M92-M100-M102-M110-M112,K85),0)</f>
        <v>0</v>
      </c>
      <c r="N85" s="51"/>
      <c r="O85" s="65">
        <f>I85*M85</f>
        <v>0</v>
      </c>
      <c r="Q85" s="155" t="str">
        <f>IF(Hulpblad!$C$93="Geen glasisolatie","",
IF(AND(Hulpblad!B98=2,Hulpblad!C100=FALSE,Hulpblad!C101=FALSE),"Vul in wanneer het isolerende glas is aangebracht",
IF(AND(Hulpblad!B98=2,Hulpblad!D100="Vóór 2025 én ≤ 24 maanden geleden",K85=0),"Vul in de blauwe cel het aantal m² te isoleren oppervlak in","")))</f>
        <v/>
      </c>
    </row>
    <row r="86" spans="1:17">
      <c r="D86" s="21"/>
      <c r="E86" s="21"/>
      <c r="F86" s="21"/>
      <c r="G86" s="171"/>
      <c r="H86" s="21"/>
      <c r="I86" s="67"/>
      <c r="J86" s="70"/>
      <c r="K86" s="90"/>
      <c r="L86" s="51"/>
      <c r="M86" s="51"/>
      <c r="N86" s="51"/>
      <c r="O86" s="68"/>
      <c r="Q86" s="155"/>
    </row>
    <row r="87" spans="1:17">
      <c r="D87" s="21"/>
      <c r="E87" s="21"/>
      <c r="F87" s="21"/>
      <c r="G87" s="171"/>
      <c r="H87" s="21"/>
      <c r="I87" s="62">
        <f>IF(A85="Niet van toepassing",0,VLOOKUP(Hulpblad!C105,Hulpblad!C272:I317,7,FALSE))</f>
        <v>0</v>
      </c>
      <c r="J87" s="70"/>
      <c r="K87" s="72"/>
      <c r="L87" s="51"/>
      <c r="M87" s="64">
        <f>IF(AND(I87&gt;0,K87&gt;0),MIN(45-M90-M92-M100-M102-M110-M112,K87),0)</f>
        <v>0</v>
      </c>
      <c r="N87" s="51"/>
      <c r="O87" s="65">
        <f>I87*M87</f>
        <v>0</v>
      </c>
      <c r="Q87" s="155" t="str">
        <f>IF(Hulpblad!$C$93="Geen glasisolatie","",
IF(AND(Hulpblad!B98=2,Hulpblad!C100=FALSE,Hulpblad!C101=FALSE),"Vul in wanneer het isolerende glas is aangebracht",
IF(AND(Hulpblad!B98=2,Hulpblad!D101=2025,K87=0),"Vul in de blauwe cel het aantal m² te isoleren oppervlak in","")))</f>
        <v/>
      </c>
    </row>
    <row r="88" spans="1:17">
      <c r="D88" s="21"/>
      <c r="E88" s="21"/>
      <c r="F88" s="21"/>
      <c r="G88" s="171"/>
      <c r="H88" s="21"/>
      <c r="I88" s="67"/>
      <c r="J88" s="70"/>
      <c r="K88" s="156"/>
      <c r="L88" s="51"/>
      <c r="M88" s="51"/>
      <c r="N88" s="51"/>
      <c r="O88" s="68"/>
      <c r="Q88" s="155"/>
    </row>
    <row r="89" spans="1:17" ht="15" customHeight="1">
      <c r="D89" s="21"/>
      <c r="E89" s="21"/>
      <c r="F89" s="21"/>
      <c r="G89" s="171"/>
      <c r="H89" s="21"/>
      <c r="I89" s="70"/>
      <c r="J89" s="70"/>
      <c r="K89" s="51"/>
      <c r="L89" s="51"/>
      <c r="M89" s="51"/>
      <c r="N89" s="51"/>
      <c r="O89" s="51"/>
      <c r="Q89" s="155"/>
    </row>
    <row r="90" spans="1:17" ht="15" customHeight="1">
      <c r="A90" s="51" t="str">
        <f>Hulpblad!B170</f>
        <v>Niet van toepassing</v>
      </c>
      <c r="D90" s="21"/>
      <c r="E90" s="21"/>
      <c r="F90" s="21"/>
      <c r="G90" s="171"/>
      <c r="H90" s="21"/>
      <c r="I90" s="62">
        <f>IF(A90="Niet van toepassing",0,VLOOKUP(Hulpblad!C116,Hulpblad!C272:I317,7,FALSE))</f>
        <v>0</v>
      </c>
      <c r="J90" s="70"/>
      <c r="K90" s="72"/>
      <c r="L90" s="51"/>
      <c r="M90" s="64">
        <f>IF(AND(I90&gt;0,K90&gt;0),MIN(45-M92,K90),0)</f>
        <v>0</v>
      </c>
      <c r="N90" s="51"/>
      <c r="O90" s="65">
        <f>I90*M90</f>
        <v>0</v>
      </c>
      <c r="Q90" s="155" t="str">
        <f>IF(Hulpblad!$C$93="Geen glasisolatie","",
IF(AND(Hulpblad!B110=2,Hulpblad!C112=FALSE,Hulpblad!C113=FALSE),"Vul in wanneer het isolerende glas is aangebracht",
IF(AND(Hulpblad!B110=2,Hulpblad!D112="Vóór 2025 én ≤ 24 maanden geleden",K90=0),"Vul in de blauwe cel het aantal m² te isoleren oppervlak in","")))</f>
        <v/>
      </c>
    </row>
    <row r="91" spans="1:17" ht="15" customHeight="1">
      <c r="D91" s="21"/>
      <c r="E91" s="21"/>
      <c r="F91" s="21"/>
      <c r="G91" s="171"/>
      <c r="H91" s="21"/>
      <c r="I91" s="70"/>
      <c r="J91" s="70"/>
      <c r="K91" s="51"/>
      <c r="L91" s="51"/>
      <c r="M91" s="51"/>
      <c r="N91" s="51"/>
      <c r="O91" s="51"/>
      <c r="Q91" s="155"/>
    </row>
    <row r="92" spans="1:17">
      <c r="D92" s="21"/>
      <c r="E92" s="21"/>
      <c r="F92" s="21"/>
      <c r="G92" s="171"/>
      <c r="H92" s="21"/>
      <c r="I92" s="62">
        <f>IF(A90="Niet van toepassing",0,VLOOKUP(Hulpblad!C117,Hulpblad!C272:I317,7,FALSE))</f>
        <v>0</v>
      </c>
      <c r="J92" s="70"/>
      <c r="K92" s="72"/>
      <c r="L92" s="51"/>
      <c r="M92" s="64">
        <f>IF(AND(I92&gt;0,K92&gt;0),MIN(45,K92),0)</f>
        <v>0</v>
      </c>
      <c r="N92" s="51"/>
      <c r="O92" s="65">
        <f>I92*M92</f>
        <v>0</v>
      </c>
      <c r="Q92" s="155" t="str">
        <f>IF(Hulpblad!$C$93="Geen glasisolatie","",
IF(AND(Hulpblad!B110=2,Hulpblad!C112=FALSE,Hulpblad!C113=FALSE),"Vul in wanneer het isolerende glas is aangebracht",
IF(AND(Hulpblad!B110=2,Hulpblad!D113=2025,K92=0),"Vul in de blauwe cel het aantal m² te isoleren oppervlak in","")))</f>
        <v/>
      </c>
    </row>
    <row r="93" spans="1:17">
      <c r="D93" s="21"/>
      <c r="E93" s="21"/>
      <c r="F93" s="21"/>
      <c r="G93" s="171"/>
      <c r="H93" s="21"/>
      <c r="I93" s="67"/>
      <c r="J93" s="70"/>
      <c r="K93" s="156"/>
      <c r="L93" s="51"/>
      <c r="M93" s="51"/>
      <c r="N93" s="51"/>
      <c r="O93" s="68"/>
      <c r="Q93" s="155"/>
    </row>
    <row r="94" spans="1:17" ht="15" customHeight="1">
      <c r="D94" s="21"/>
      <c r="E94" s="21"/>
      <c r="F94" s="21"/>
      <c r="G94" s="171"/>
      <c r="H94" s="21"/>
      <c r="I94" s="70"/>
      <c r="J94" s="70"/>
      <c r="K94" s="51"/>
      <c r="L94" s="51"/>
      <c r="M94" s="51"/>
      <c r="N94" s="51"/>
      <c r="O94" s="51"/>
      <c r="Q94" s="51"/>
    </row>
    <row r="95" spans="1:17" ht="15" customHeight="1">
      <c r="A95" s="158" t="str">
        <f>Hulpblad!B171</f>
        <v>Niet van toepassing</v>
      </c>
      <c r="D95" s="21"/>
      <c r="E95" s="21"/>
      <c r="F95" s="21"/>
      <c r="G95" s="171"/>
      <c r="H95" s="21"/>
      <c r="I95" s="62">
        <f>IF(A95="Niet van toepassing",0,VLOOKUP(Hulpblad!C128,Hulpblad!C272:I317,7,FALSE))</f>
        <v>0</v>
      </c>
      <c r="J95" s="70"/>
      <c r="K95" s="72"/>
      <c r="L95" s="51"/>
      <c r="M95" s="64">
        <f>IF(AND(I95&gt;0,K95&gt;0),MIN(45-M85-M87-M90-M92-M97-M100-M102-M105-M107-M110-M112,K95),0)</f>
        <v>0</v>
      </c>
      <c r="N95" s="51"/>
      <c r="O95" s="65">
        <f>I95*M95</f>
        <v>0</v>
      </c>
      <c r="Q95" s="155" t="str">
        <f>IF(A95="Niet van toepassing","",
IF(AND(Hulpblad!B122=2,Hulpblad!C124=FALSE,Hulpblad!C125=FALSE),"Vul in wanneer de isolerende panelen zijn aangebracht",
IF(AND(Hulpblad!B122=2,Hulpblad!D124="Vóór 2025 én ≤ 24 maanden geleden",K95=0),"Vul in de blauwe cel het aantal m² te isoleren oppervlak in","")))</f>
        <v/>
      </c>
    </row>
    <row r="96" spans="1:17" ht="15" customHeight="1">
      <c r="A96" s="164"/>
      <c r="D96" s="21"/>
      <c r="E96" s="21"/>
      <c r="F96" s="21"/>
      <c r="G96" s="171"/>
      <c r="H96" s="21"/>
      <c r="I96" s="70"/>
      <c r="J96" s="70"/>
      <c r="K96" s="51"/>
      <c r="L96" s="51"/>
      <c r="M96" s="51"/>
      <c r="N96" s="51"/>
      <c r="O96" s="51"/>
      <c r="Q96" s="155"/>
    </row>
    <row r="97" spans="1:17">
      <c r="D97" s="21"/>
      <c r="E97" s="21"/>
      <c r="F97" s="21"/>
      <c r="G97" s="171"/>
      <c r="H97" s="21"/>
      <c r="I97" s="62">
        <f>IF(A95="Niet van toepassing",0,VLOOKUP(Hulpblad!C129,Hulpblad!C272:I317,7,FALSE))</f>
        <v>0</v>
      </c>
      <c r="J97" s="70"/>
      <c r="K97" s="72"/>
      <c r="L97" s="51"/>
      <c r="M97" s="64">
        <f>IF(AND(I97&gt;0,K97&gt;0),MIN(45-M85-M87-M90-M92-M100-M102-M105-M107-M110-M112,K97),0)</f>
        <v>0</v>
      </c>
      <c r="N97" s="51"/>
      <c r="O97" s="65">
        <f>I97*M97</f>
        <v>0</v>
      </c>
      <c r="Q97" s="83" t="str">
        <f>IF(A95="Niet van toepassing","",
IF(AND(Hulpblad!B122=2,Hulpblad!C124=FALSE,Hulpblad!C125=FALSE),"Vul in wanneer de isolerende panelen zijn aangebracht",
IF(AND(Hulpblad!B122=2,Hulpblad!D125=2025,K97=0),"Vul in de blauwe cel het aantal m² te isoleren oppervlak in","")))</f>
        <v/>
      </c>
    </row>
    <row r="98" spans="1:17">
      <c r="D98" s="21"/>
      <c r="E98" s="21"/>
      <c r="F98" s="21"/>
      <c r="G98" s="171"/>
      <c r="H98" s="21"/>
      <c r="I98" s="51"/>
      <c r="J98" s="51"/>
      <c r="K98" s="51"/>
      <c r="L98" s="51"/>
      <c r="M98" s="51"/>
      <c r="N98" s="51"/>
      <c r="O98" s="51"/>
      <c r="Q98" s="51"/>
    </row>
    <row r="99" spans="1:17" ht="15" customHeight="1">
      <c r="D99" s="21"/>
      <c r="E99" s="21"/>
      <c r="F99" s="21"/>
      <c r="G99" s="171"/>
      <c r="H99" s="21"/>
      <c r="I99" s="70"/>
      <c r="J99" s="70"/>
      <c r="K99" s="51"/>
      <c r="L99" s="51"/>
      <c r="M99" s="51"/>
      <c r="N99" s="51"/>
      <c r="O99" s="51"/>
      <c r="Q99" s="51"/>
    </row>
    <row r="100" spans="1:17" ht="15" customHeight="1">
      <c r="A100" s="158" t="str">
        <f>Hulpblad!B172</f>
        <v>Niet van toepassing</v>
      </c>
      <c r="D100" s="21"/>
      <c r="E100" s="21"/>
      <c r="F100" s="21"/>
      <c r="G100" s="171"/>
      <c r="H100" s="21"/>
      <c r="I100" s="62">
        <f>IF(A100="Niet van toepassing",0,VLOOKUP(Hulpblad!C140,Hulpblad!C272:I317,7,FALSE))</f>
        <v>0</v>
      </c>
      <c r="J100" s="70"/>
      <c r="K100" s="72"/>
      <c r="L100" s="51"/>
      <c r="M100" s="64">
        <f>IF(AND(I100&gt;0,K100&gt;0),MIN(45-M90-M92-M102-M110-M112,K100),0)</f>
        <v>0</v>
      </c>
      <c r="N100" s="51"/>
      <c r="O100" s="65">
        <f>I100*M100</f>
        <v>0</v>
      </c>
      <c r="Q100" s="83" t="str">
        <f>IF(A100="Niet van toepassing","",
IF(AND(Hulpblad!B134=2,Hulpblad!C136=FALSE,Hulpblad!C137=FALSE),"Vul in wanneer de isolerende panelen zijn aangebracht",
IF(AND(Hulpblad!B134=2,Hulpblad!D136="Vóór 2025 én ≤ 24 maanden geleden",K100=0),"Vul in de blauwe cel het aantal m² te isoleren oppervlak in","")))</f>
        <v/>
      </c>
    </row>
    <row r="101" spans="1:17" ht="15" customHeight="1">
      <c r="A101" s="158"/>
      <c r="D101" s="21"/>
      <c r="E101" s="21"/>
      <c r="F101" s="21"/>
      <c r="G101" s="171"/>
      <c r="H101" s="21"/>
      <c r="I101" s="70"/>
      <c r="J101" s="70"/>
      <c r="K101" s="51"/>
      <c r="L101" s="51"/>
      <c r="M101" s="51"/>
      <c r="N101" s="51"/>
      <c r="O101" s="51"/>
      <c r="Q101" s="155"/>
    </row>
    <row r="102" spans="1:17">
      <c r="D102" s="21"/>
      <c r="E102" s="21"/>
      <c r="F102" s="21"/>
      <c r="G102" s="171"/>
      <c r="H102" s="21"/>
      <c r="I102" s="62">
        <f>IF(A100="Niet van toepassing",0,VLOOKUP(Hulpblad!C141,Hulpblad!C272:I317,7,FALSE))</f>
        <v>0</v>
      </c>
      <c r="J102" s="70"/>
      <c r="K102" s="72"/>
      <c r="L102" s="51"/>
      <c r="M102" s="64">
        <f>IF(AND(I102&gt;0,K102&gt;0),MIN(45-M90-M92-M110-M112,K102),0)</f>
        <v>0</v>
      </c>
      <c r="N102" s="51"/>
      <c r="O102" s="65">
        <f>I102*M102</f>
        <v>0</v>
      </c>
      <c r="Q102" s="155" t="str">
        <f>IF(A100="Niet van toepassing","",
IF(AND(Hulpblad!B134=2,Hulpblad!C136=FALSE,Hulpblad!C137=FALSE),"Vul in wanneer de isolerende panelen zijn aangebracht",
IF(AND(Hulpblad!B134=2,Hulpblad!D137=2025,K102=0),"Vul in de blauwe cel het aantal m² te isoleren oppervlak in","")))</f>
        <v/>
      </c>
    </row>
    <row r="103" spans="1:17" ht="15" customHeight="1">
      <c r="D103" s="21"/>
      <c r="E103" s="21"/>
      <c r="F103" s="21"/>
      <c r="G103" s="171"/>
      <c r="H103" s="21"/>
      <c r="I103" s="70"/>
      <c r="J103" s="70"/>
      <c r="K103" s="51"/>
      <c r="L103" s="51"/>
      <c r="M103" s="51"/>
      <c r="N103" s="51"/>
      <c r="O103" s="51"/>
      <c r="Q103" s="51"/>
    </row>
    <row r="104" spans="1:17" ht="15" customHeight="1">
      <c r="D104" s="21"/>
      <c r="E104" s="21"/>
      <c r="F104" s="21"/>
      <c r="G104" s="171"/>
      <c r="H104" s="21"/>
      <c r="I104" s="70"/>
      <c r="J104" s="70"/>
      <c r="K104" s="51"/>
      <c r="L104" s="51"/>
      <c r="M104" s="51"/>
      <c r="N104" s="51"/>
      <c r="O104" s="51"/>
      <c r="Q104" s="51"/>
    </row>
    <row r="105" spans="1:17" ht="15" customHeight="1">
      <c r="A105" s="158" t="str">
        <f>Hulpblad!B173</f>
        <v>Niet van toepassing</v>
      </c>
      <c r="D105" s="21"/>
      <c r="E105" s="21"/>
      <c r="F105" s="21"/>
      <c r="G105" s="171"/>
      <c r="H105" s="21"/>
      <c r="I105" s="62">
        <f>IF(A105="Niet van toepassing",0,VLOOKUP(Hulpblad!C152,Hulpblad!C272:I317,7,FALSE))</f>
        <v>0</v>
      </c>
      <c r="J105" s="70"/>
      <c r="K105" s="72"/>
      <c r="L105" s="51"/>
      <c r="M105" s="64">
        <f>IF(AND(I105&gt;0,K105&gt;0),MIN(45-M85-M87-M90-M92-M100-M102-M107-M110-M112,K105),0)</f>
        <v>0</v>
      </c>
      <c r="N105" s="51"/>
      <c r="O105" s="65">
        <f>I105*M105</f>
        <v>0</v>
      </c>
      <c r="Q105" s="155" t="str">
        <f>IF(A105="Niet van toepassing","",
IF(AND(Hulpblad!B146=2,Hulpblad!C148=FALSE,Hulpblad!C149=FALSE),"Vul in wanneer de isolerende deuren zijn aangebracht",
IF(AND(Hulpblad!B146=2,Hulpblad!D148="Vóór 2025 én ≤ 24 maanden geleden",K105=0),"Vul in de blauwe cel het aantal m² te isoleren oppervlak in","")))</f>
        <v/>
      </c>
    </row>
    <row r="106" spans="1:17" ht="15" customHeight="1">
      <c r="A106" s="158"/>
      <c r="D106" s="21"/>
      <c r="E106" s="21"/>
      <c r="F106" s="21"/>
      <c r="G106" s="171"/>
      <c r="H106" s="21"/>
      <c r="I106" s="70"/>
      <c r="J106" s="70"/>
      <c r="K106" s="51"/>
      <c r="L106" s="51"/>
      <c r="M106" s="51"/>
      <c r="N106" s="51"/>
      <c r="O106" s="51"/>
      <c r="Q106" s="155"/>
    </row>
    <row r="107" spans="1:17">
      <c r="D107" s="21"/>
      <c r="E107" s="21"/>
      <c r="F107" s="21"/>
      <c r="G107" s="171"/>
      <c r="H107" s="21"/>
      <c r="I107" s="62">
        <f>IF(A105="Niet van toepassing",0,VLOOKUP(Hulpblad!C153,Hulpblad!C272:I317,7,FALSE))</f>
        <v>0</v>
      </c>
      <c r="J107" s="70"/>
      <c r="K107" s="72"/>
      <c r="L107" s="51"/>
      <c r="M107" s="64">
        <f>IF(AND(I107&gt;0,K107&gt;0),MIN(45-M85-M87-M90-M92-M100-M102-M110-M112,K107),0)</f>
        <v>0</v>
      </c>
      <c r="N107" s="51"/>
      <c r="O107" s="65">
        <f>I107*M107</f>
        <v>0</v>
      </c>
      <c r="Q107" s="83" t="str">
        <f>IF(A105="Niet van toepassing","",
IF(AND(Hulpblad!B146=2,Hulpblad!C148=FALSE,Hulpblad!C149=FALSE),"Vul in wanneer de isolerende deuren zijn aangebracht",
IF(AND(Hulpblad!B146=2,Hulpblad!D149=2025,K107=0),"Vul in de blauwe cel het aantal m² te isoleren oppervlak in","")))</f>
        <v/>
      </c>
    </row>
    <row r="108" spans="1:17" ht="15" customHeight="1">
      <c r="D108" s="21"/>
      <c r="E108" s="21"/>
      <c r="F108" s="21"/>
      <c r="G108" s="171"/>
      <c r="H108" s="21"/>
      <c r="I108" s="70"/>
      <c r="J108" s="70"/>
      <c r="K108" s="51"/>
      <c r="L108" s="51"/>
      <c r="M108" s="51"/>
      <c r="N108" s="51"/>
      <c r="O108" s="51"/>
      <c r="Q108" s="51"/>
    </row>
    <row r="109" spans="1:17" ht="15" customHeight="1">
      <c r="D109" s="21"/>
      <c r="E109" s="21"/>
      <c r="F109" s="21"/>
      <c r="G109" s="171"/>
      <c r="H109" s="21"/>
      <c r="I109" s="70"/>
      <c r="J109" s="70"/>
      <c r="K109" s="51"/>
      <c r="L109" s="51"/>
      <c r="M109" s="51"/>
      <c r="N109" s="51"/>
      <c r="O109" s="51"/>
      <c r="Q109" s="51"/>
    </row>
    <row r="110" spans="1:17" ht="15" customHeight="1">
      <c r="A110" s="158" t="str">
        <f>Hulpblad!B174</f>
        <v>Niet van toepassing</v>
      </c>
      <c r="D110" s="21"/>
      <c r="E110" s="21"/>
      <c r="F110" s="21"/>
      <c r="G110" s="171"/>
      <c r="H110" s="21"/>
      <c r="I110" s="62">
        <f>IF(A110="Niet van toepassing",0,VLOOKUP(Hulpblad!C164,Hulpblad!C272:I317,7,FALSE))</f>
        <v>0</v>
      </c>
      <c r="J110" s="51"/>
      <c r="K110" s="72"/>
      <c r="L110" s="51"/>
      <c r="M110" s="64">
        <f>IF(AND(I110&gt;0,K110&gt;0),MIN(45-M90-M92-M112,K110),0)</f>
        <v>0</v>
      </c>
      <c r="N110" s="51"/>
      <c r="O110" s="65">
        <f>I110*M110</f>
        <v>0</v>
      </c>
      <c r="Q110" s="155" t="str">
        <f>IF(A110="Niet van toepassing","",
IF(AND(Hulpblad!B158=2,Hulpblad!C160=FALSE,Hulpblad!C161=FALSE),"Vul in wanneer de isolerende deuren zijn aangebracht",
IF(AND(Hulpblad!B158=2,Hulpblad!D160="Vóór 2025 én ≤ 24 maanden geleden",K110=0),"Vul in de blauwe cel het aantal m² te isoleren oppervlak in","")))</f>
        <v/>
      </c>
    </row>
    <row r="111" spans="1:17" ht="15" customHeight="1">
      <c r="A111" s="158"/>
      <c r="D111" s="21"/>
      <c r="E111" s="21"/>
      <c r="F111" s="21"/>
      <c r="G111" s="171"/>
      <c r="H111" s="21"/>
      <c r="I111" s="70"/>
      <c r="J111" s="70"/>
      <c r="K111" s="51"/>
      <c r="L111" s="51"/>
      <c r="M111" s="51"/>
      <c r="N111" s="51"/>
      <c r="O111" s="51"/>
      <c r="Q111" s="155"/>
    </row>
    <row r="112" spans="1:17" ht="15" customHeight="1">
      <c r="D112" s="21"/>
      <c r="E112" s="21"/>
      <c r="F112" s="21"/>
      <c r="G112" s="172"/>
      <c r="H112" s="21"/>
      <c r="I112" s="62">
        <f>IF(A110="Niet van toepassing",0,VLOOKUP(Hulpblad!C165,Hulpblad!C275:I319,7,FALSE))</f>
        <v>0</v>
      </c>
      <c r="J112" s="51"/>
      <c r="K112" s="72"/>
      <c r="L112" s="51"/>
      <c r="M112" s="64">
        <f>IF(AND(I112&gt;0,K112&gt;0),MIN(45-M90-M92,K112),0)</f>
        <v>0</v>
      </c>
      <c r="N112" s="51"/>
      <c r="O112" s="65">
        <f>I112*M112</f>
        <v>0</v>
      </c>
      <c r="Q112" s="84" t="str">
        <f>IF(A110="Niet van toepassing","",
IF(AND(Hulpblad!B158=2,Hulpblad!C160=FALSE,Hulpblad!C161=FALSE),"Vul in wanneer de isolerende deuren zijn aangebracht",
IF(AND(Hulpblad!B158=2,Hulpblad!D161=2025,K112=0),"Vul in de blauwe cel het aantal m² te isoleren oppervlak in","")))</f>
        <v/>
      </c>
    </row>
    <row r="113" spans="1:17">
      <c r="E113" s="21"/>
      <c r="G113" s="114"/>
      <c r="I113" s="51"/>
      <c r="J113" s="51"/>
      <c r="K113" s="51"/>
      <c r="L113" s="51"/>
      <c r="M113" s="51"/>
      <c r="N113" s="51"/>
      <c r="O113" s="51"/>
      <c r="Q113" s="51"/>
    </row>
    <row r="114" spans="1:17" ht="15.75">
      <c r="H114" s="22"/>
      <c r="I114" s="73" t="s">
        <v>138</v>
      </c>
      <c r="J114" s="74"/>
      <c r="K114" s="64">
        <f>SUM(K85:K112)</f>
        <v>0</v>
      </c>
      <c r="L114" s="51"/>
      <c r="M114" s="64">
        <f>IF(K114&gt;=8,SUM(M85:M112),
IF(K114&lt;3,0,
IF(AND(K114&lt;8,OR(M87&gt;0,M92&gt;0,M97&gt;0,M102&gt;0,M107&gt;0,M112&gt;0)),SUM(M85:M112),0)))</f>
        <v>0</v>
      </c>
      <c r="N114" s="51"/>
      <c r="O114" s="51"/>
      <c r="Q114" s="177" t="str">
        <f>IF(AND(M114&lt;45,M114&gt;8),"",IF(AND(K114&gt;45,M114=45),"Er komt maximaal 45 m²  oppervlak aan glas, panelen en deuren in aanmerking voor subsidie! Het aantal m²  is per maatregel afgetopt van hoog naar laag bedrag per m²!",
IF(AND(M114=0,Hulpblad!C93="HR++ glas, U ≤ 1,2 W/m2K en/of Triple glas, U ≤ 0,7 W/m2K"),"Er is te weinig subsidiabel oppervlak aan glas, panelen en deuren om in aanmerking te komen voor subsidie!","")))</f>
        <v/>
      </c>
    </row>
    <row r="115" spans="1:17" ht="15" customHeight="1">
      <c r="I115" s="51"/>
      <c r="J115" s="51"/>
      <c r="K115" s="51"/>
      <c r="L115" s="51"/>
      <c r="M115" s="51"/>
      <c r="N115" s="51"/>
      <c r="O115" s="51"/>
      <c r="Q115" s="164"/>
    </row>
    <row r="116" spans="1:17">
      <c r="H116" s="22"/>
      <c r="I116" s="75"/>
      <c r="J116" s="74"/>
      <c r="K116" s="76" t="s">
        <v>163</v>
      </c>
      <c r="L116" s="51"/>
      <c r="M116" s="51"/>
      <c r="N116" s="51"/>
      <c r="O116" s="65">
        <f>IF(K114&gt;=8,SUM(O85:O112),
IF(K114&lt;3,0,
IF(AND(K114&lt;8,OR(M87&gt;0,M92&gt;0,M97&gt;0,M102&gt;0,M107&gt;0,M112&gt;0)),SUM(O85:O112),0)))</f>
        <v>0</v>
      </c>
      <c r="Q116" s="84"/>
    </row>
    <row r="117" spans="1:17" ht="23.25">
      <c r="A117" s="78" t="s">
        <v>73</v>
      </c>
      <c r="B117" s="23"/>
      <c r="I117" s="51"/>
      <c r="J117" s="51"/>
      <c r="K117" s="51"/>
      <c r="L117" s="51"/>
      <c r="M117" s="51"/>
      <c r="N117" s="51"/>
      <c r="O117" s="51"/>
      <c r="Q117" s="52"/>
    </row>
    <row r="118" spans="1:17" ht="15" customHeight="1">
      <c r="A118" s="23"/>
      <c r="B118" s="23"/>
      <c r="Q118" s="52"/>
    </row>
    <row r="119" spans="1:17" ht="15" customHeight="1">
      <c r="A119" s="23"/>
      <c r="B119" s="23"/>
      <c r="Q119" s="51"/>
    </row>
    <row r="120" spans="1:17">
      <c r="Q120" s="85"/>
    </row>
    <row r="121" spans="1:17">
      <c r="A121" s="51" t="s">
        <v>32</v>
      </c>
      <c r="G121" s="77" t="s">
        <v>139</v>
      </c>
      <c r="H121" s="16"/>
      <c r="I121" s="16"/>
      <c r="J121" s="16"/>
      <c r="O121" s="17">
        <f>IF(OR(Hulpblad!C205="Geen warmtepomp",Hulpblad!C220="Niet van toepassing"),0,
IF(AND(Hulpblad!C213="Niet van toepassing",OR(Hulpblad!B205=2,Hulpblad!B205=3,Hulpblad!B205=5,Hulpblad!B205=6,Hulpblad!B205=7,Hulpblad!B205=9,Hulpblad!B205=10,Hulpblad!B205=11)),0,
IF(Hulpblad!C221=0,0,
IF(E143="",VLOOKUP(Hulpblad!C224,Hulpblad!C382:F593,4,FALSE))+IF(E143="",IF(C143=0,0,VLOOKUP(Hulpblad!C224,Hulpblad!C382:G593,5,FALSE)*(C143-Hulpblad!C227)),0))))</f>
        <v>0</v>
      </c>
      <c r="Q121" s="83" t="str">
        <f>IF(OR(Hulpblad!C205="Geen Warmtepomp",Hulpblad!C213="Niet van toepassing",Hulpblad!C220="Niet van toepassing",Hulpblad!C221=0),"",IF(O121=0,VLOOKUP(Hulpblad!C224,Hulpblad!C382:'Hulpblad'!I593,7,FALSE),""))</f>
        <v/>
      </c>
    </row>
    <row r="122" spans="1:17">
      <c r="Q122" s="52"/>
    </row>
    <row r="123" spans="1:17">
      <c r="O123" s="40"/>
      <c r="Q123" s="70"/>
    </row>
    <row r="124" spans="1:17">
      <c r="Q124" s="51"/>
    </row>
    <row r="125" spans="1:17">
      <c r="H125" s="44"/>
      <c r="I125" s="44"/>
      <c r="J125" s="44"/>
      <c r="K125" s="44"/>
      <c r="L125" s="44"/>
      <c r="M125" s="44"/>
      <c r="N125" s="44"/>
      <c r="O125" s="44"/>
      <c r="Q125" s="51"/>
    </row>
    <row r="126" spans="1:17">
      <c r="G126" s="44"/>
      <c r="H126" s="44"/>
      <c r="I126" s="44"/>
      <c r="J126" s="44"/>
      <c r="K126" s="44"/>
      <c r="L126" s="44"/>
      <c r="M126" s="44"/>
      <c r="N126" s="44"/>
      <c r="O126" s="44"/>
      <c r="Q126" s="51"/>
    </row>
    <row r="127" spans="1:17" ht="15" customHeight="1">
      <c r="G127" s="44"/>
      <c r="H127" s="44"/>
      <c r="I127" s="44"/>
      <c r="J127" s="44"/>
      <c r="K127" s="44"/>
      <c r="L127" s="44"/>
      <c r="M127" s="44"/>
      <c r="N127" s="44"/>
      <c r="O127" s="44"/>
      <c r="Q127" s="51"/>
    </row>
    <row r="128" spans="1:17" ht="15" customHeight="1">
      <c r="E128" s="117" t="str">
        <f>IF(AND(Hulpblad!B205=3,C143&gt;0,C143&lt;13,Hulpblad!B220=4),"In welk jaar hebt u de warmtepomp aangeschaft?","")</f>
        <v/>
      </c>
      <c r="O128" s="40"/>
      <c r="Q128" s="51"/>
    </row>
    <row r="129" spans="1:17">
      <c r="E129" s="120"/>
      <c r="G129" s="83" t="str">
        <f>IF(AND(E128="In welk jaar hebt u de warmtepomp aangeschaft?",E129=""),"Vul in de blauwe cel het jaartal in","")</f>
        <v/>
      </c>
      <c r="L129" s="15"/>
      <c r="Q129" s="51"/>
    </row>
    <row r="130" spans="1:17">
      <c r="Q130" s="51"/>
    </row>
    <row r="131" spans="1:17">
      <c r="Q131" s="51"/>
    </row>
    <row r="132" spans="1:17">
      <c r="Q132" s="51"/>
    </row>
    <row r="133" spans="1:17">
      <c r="Q133" s="51"/>
    </row>
    <row r="135" spans="1:17">
      <c r="K135" s="118"/>
    </row>
    <row r="136" spans="1:17">
      <c r="A136" s="51" t="str">
        <f>IF(C121="Geen warmtepomp","","Kies energie-efficiency klasse:")</f>
        <v>Kies energie-efficiency klasse:</v>
      </c>
      <c r="K136" s="118"/>
    </row>
    <row r="138" spans="1:17">
      <c r="E138" s="119"/>
    </row>
    <row r="141" spans="1:17">
      <c r="E141" s="15" t="str">
        <f>IF(AND(Hulpblad!B213=1,OR(Hulpblad!B205=1,Hulpblad!B205=4,Hulpblad!B205=8,Hulpblad!B205=12)),"",
IF(AND(Hulpblad!B205&gt;1,Hulpblad!B213=1),"U moet nog een energie-efficiencyklasse invullen!",""))</f>
        <v/>
      </c>
    </row>
    <row r="143" spans="1:17">
      <c r="A143" s="146" t="str">
        <f>IF(VLOOKUP(Hulpblad!C205,Hulpblad!B193:C204,2,FALSE)&gt;0,"Kies vermogen (kW):","")</f>
        <v/>
      </c>
      <c r="C143" s="42"/>
      <c r="E143" s="15" t="str">
        <f>IF(A143="","",IF(OR(C143=0,C143&lt;Hulpblad!C227,C143&gt;Hulpblad!C228),"U moet een geheel aantal kW vermogen tussen "&amp;Hulpblad!C227&amp;" kW - "&amp;Hulpblad!C228&amp;" kW  invullen!",""))</f>
        <v/>
      </c>
      <c r="H143" s="24"/>
      <c r="I143" s="24"/>
      <c r="J143" s="24"/>
      <c r="L143" s="24"/>
      <c r="M143" s="24"/>
      <c r="N143" s="24"/>
    </row>
    <row r="144" spans="1:17">
      <c r="A144" s="143"/>
      <c r="C144" s="145"/>
      <c r="E144" s="15"/>
      <c r="H144" s="24"/>
      <c r="I144" s="24"/>
      <c r="J144" s="24"/>
      <c r="L144" s="24"/>
      <c r="M144" s="24"/>
      <c r="N144" s="24"/>
    </row>
    <row r="145" spans="1:17">
      <c r="A145" s="143"/>
      <c r="C145" s="145"/>
      <c r="E145" s="15"/>
      <c r="H145" s="24"/>
      <c r="I145" s="24"/>
      <c r="J145" s="24"/>
      <c r="L145" s="24"/>
      <c r="M145" s="24"/>
      <c r="N145" s="24"/>
    </row>
    <row r="146" spans="1:17">
      <c r="A146" s="144" t="s">
        <v>431</v>
      </c>
      <c r="C146" s="145"/>
      <c r="E146" s="15"/>
      <c r="H146" s="24"/>
      <c r="I146" s="24"/>
      <c r="J146" s="24"/>
      <c r="L146" s="24"/>
      <c r="M146" s="24"/>
      <c r="N146" s="24"/>
    </row>
    <row r="147" spans="1:17">
      <c r="A147" s="143" t="s">
        <v>432</v>
      </c>
      <c r="C147" s="145"/>
      <c r="E147" s="15"/>
      <c r="H147" s="24"/>
      <c r="I147" s="24"/>
      <c r="J147" s="24"/>
      <c r="L147" s="24"/>
      <c r="M147" s="24"/>
      <c r="N147" s="24"/>
    </row>
    <row r="148" spans="1:17" ht="15" customHeight="1">
      <c r="B148" s="16"/>
    </row>
    <row r="149" spans="1:17" ht="23.25">
      <c r="A149" s="78" t="s">
        <v>74</v>
      </c>
      <c r="B149" s="23"/>
    </row>
    <row r="150" spans="1:17" ht="23.25">
      <c r="A150" s="23"/>
      <c r="B150" s="23"/>
    </row>
    <row r="151" spans="1:17" ht="15" customHeight="1">
      <c r="A151" s="23"/>
      <c r="B151" s="23"/>
    </row>
    <row r="152" spans="1:17" ht="15" customHeight="1">
      <c r="A152" s="51" t="s">
        <v>33</v>
      </c>
      <c r="E152" s="24"/>
      <c r="G152" s="77" t="s">
        <v>142</v>
      </c>
      <c r="H152" s="16"/>
      <c r="I152" s="16"/>
      <c r="J152" s="16"/>
      <c r="O152" s="17">
        <f>IF(OR(Hulpblad!C236="Geen zonneboiler",Hulpblad!C242="Niet van toepassing"),0,VLOOKUP(Hulpblad!C244,Hulpblad!C576:D584,2,FALSE))</f>
        <v>0</v>
      </c>
      <c r="Q152" s="173" t="str">
        <f>IF(O152&gt;0,"Dit subsidiebedrag is indicatief, raadpleeg de ISDE-apparatenlijst zonneboilers voor het exacte bedrag.","")</f>
        <v/>
      </c>
    </row>
    <row r="153" spans="1:17" ht="15" customHeight="1">
      <c r="B153" s="16"/>
      <c r="E153" s="24"/>
      <c r="G153" s="51"/>
      <c r="Q153" s="174"/>
    </row>
    <row r="154" spans="1:17" ht="15" customHeight="1">
      <c r="A154" s="23"/>
      <c r="B154" s="23"/>
      <c r="E154" s="24"/>
      <c r="G154" s="70"/>
    </row>
    <row r="155" spans="1:17" ht="15" customHeight="1">
      <c r="A155" s="23"/>
      <c r="B155" s="23"/>
      <c r="E155" s="24"/>
      <c r="Q155" s="46"/>
    </row>
    <row r="156" spans="1:17" ht="15" customHeight="1">
      <c r="A156" s="23"/>
      <c r="B156" s="23"/>
      <c r="Q156" s="46"/>
    </row>
    <row r="157" spans="1:17" ht="15" customHeight="1">
      <c r="A157" s="23"/>
      <c r="B157" s="23"/>
      <c r="Q157" s="46"/>
    </row>
    <row r="158" spans="1:17" ht="15" customHeight="1"/>
    <row r="159" spans="1:17" ht="15" customHeight="1">
      <c r="A159" s="144" t="s">
        <v>429</v>
      </c>
    </row>
    <row r="160" spans="1:17" ht="15" customHeight="1">
      <c r="A160" s="143" t="s">
        <v>430</v>
      </c>
    </row>
    <row r="161" spans="1:17" ht="15" customHeight="1"/>
    <row r="162" spans="1:17" ht="23.25">
      <c r="A162" s="78" t="s">
        <v>72</v>
      </c>
      <c r="B162" s="23"/>
    </row>
    <row r="163" spans="1:17" ht="23.25">
      <c r="A163" s="23"/>
      <c r="B163" s="23"/>
    </row>
    <row r="164" spans="1:17" ht="15" customHeight="1"/>
    <row r="165" spans="1:17">
      <c r="A165" s="163" t="s">
        <v>82</v>
      </c>
      <c r="B165" s="46"/>
      <c r="D165" s="25"/>
      <c r="E165" s="25"/>
      <c r="G165" s="77" t="s">
        <v>141</v>
      </c>
      <c r="H165" s="16"/>
      <c r="I165" s="16"/>
      <c r="J165" s="16"/>
      <c r="O165" s="17">
        <f>IF(OR(Hulpblad!C249="Geen aansluiting op een warmtenet",Hulpblad!C254="Niet van toepassing"),0,VLOOKUP(Hulpblad!C256,Hulpblad!C587:D589,2,FALSE))</f>
        <v>0</v>
      </c>
      <c r="Q165" s="165" t="str">
        <f>IF(O165&gt;0,"Dit subsidiebedrag is inclusief een bijdrage voor een elektrische kookvoorziening.","")</f>
        <v/>
      </c>
    </row>
    <row r="166" spans="1:17">
      <c r="A166" s="163"/>
      <c r="B166" s="46"/>
      <c r="D166" s="25"/>
      <c r="E166" s="25"/>
      <c r="Q166" s="163"/>
    </row>
    <row r="167" spans="1:17">
      <c r="A167" s="44"/>
      <c r="B167" s="46"/>
      <c r="D167" s="25"/>
      <c r="E167" s="25"/>
      <c r="Q167" s="44"/>
    </row>
    <row r="168" spans="1:17">
      <c r="A168" s="44"/>
      <c r="B168" s="46"/>
      <c r="D168" s="25"/>
      <c r="E168" s="25"/>
      <c r="Q168" s="44"/>
    </row>
    <row r="169" spans="1:17" ht="15" customHeight="1">
      <c r="A169" s="46"/>
      <c r="B169" s="46"/>
      <c r="D169" s="25"/>
      <c r="E169" s="25"/>
    </row>
    <row r="170" spans="1:17" ht="30.75" customHeight="1">
      <c r="A170" s="78" t="s">
        <v>83</v>
      </c>
      <c r="B170" s="46"/>
      <c r="D170" s="9" t="s">
        <v>78</v>
      </c>
      <c r="E170" s="46"/>
    </row>
    <row r="171" spans="1:17" ht="30.75" customHeight="1">
      <c r="A171" s="23"/>
      <c r="B171" s="46"/>
      <c r="E171" s="46"/>
    </row>
    <row r="172" spans="1:17" ht="60" customHeight="1">
      <c r="A172" s="79" t="str">
        <f>IF(O165&gt;0,"U komt niet in aanmerking voor een aparte subsidie voor de elektrische kookvoorziening, omdat deze al bij de aansluiting op een warmtenet is inbegrepen.","Wilt u een elektrische kookvoorziening aanschaffen?")</f>
        <v>Wilt u een elektrische kookvoorziening aanschaffen?</v>
      </c>
      <c r="B172" s="46"/>
      <c r="E172" s="28"/>
    </row>
    <row r="173" spans="1:17" ht="15" customHeight="1">
      <c r="A173" s="80"/>
      <c r="B173" s="46"/>
    </row>
    <row r="174" spans="1:17" ht="30" customHeight="1">
      <c r="A174" s="79" t="str">
        <f>IF(AND(Hulpblad!C262="Ja",A172="Wilt u een elektrische kookvoorziening aanschaffen?"),"Is uw woning aangesloten op een warmtenet?","Niet van toepassing!")</f>
        <v>Niet van toepassing!</v>
      </c>
      <c r="B174" s="46"/>
      <c r="E174" s="86" t="str">
        <f>IF(O165&gt;0,"",IF(Hulpblad!F262="Nee","U komt niet in aanmerking voor subsidie voor een elektrische kookvoorziening als uw woning niet op een warmtenet is aangesloten.",""))</f>
        <v/>
      </c>
    </row>
    <row r="175" spans="1:17" ht="15" customHeight="1">
      <c r="A175" s="80"/>
      <c r="B175" s="46"/>
    </row>
    <row r="176" spans="1:17" ht="15" customHeight="1">
      <c r="A176" s="80"/>
      <c r="B176" s="46"/>
    </row>
    <row r="177" spans="1:15" ht="15" customHeight="1">
      <c r="A177" s="80"/>
      <c r="B177" s="46"/>
    </row>
    <row r="178" spans="1:15" ht="30" customHeight="1">
      <c r="A178" s="79" t="str">
        <f>IF(AND(Hulpblad!F262="Ja",A174="Is uw woning aangesloten op een warmtenet?"),"Heeft u voor de aansluiting op een warmtenet al  eerder subsidie ontvangen van de Rijksoverheid?","Niet van toepassing!")</f>
        <v>Niet van toepassing!</v>
      </c>
      <c r="B178" s="46"/>
      <c r="E178" s="157" t="str">
        <f>IF(O165&gt;0,"",IF(Hulpblad!I262="Ja","U komt niet in aanmerking vooor subsidie voor een elektrische kookvoorziening, omdat u van de Rijksoverheid al subsidie voor het warmtenet heeft ontvangen.",""))</f>
        <v/>
      </c>
      <c r="F178" s="158"/>
      <c r="G178" s="158"/>
      <c r="H178" s="158"/>
      <c r="I178" s="158"/>
      <c r="J178" s="158"/>
      <c r="K178" s="158"/>
    </row>
    <row r="179" spans="1:15" ht="14.1" customHeight="1">
      <c r="A179" s="80"/>
      <c r="B179" s="26"/>
      <c r="D179" s="25"/>
      <c r="L179" s="25"/>
      <c r="M179" s="25"/>
    </row>
    <row r="180" spans="1:15">
      <c r="A180" s="81"/>
      <c r="B180" s="26"/>
      <c r="D180" s="25"/>
      <c r="L180" s="25"/>
      <c r="M180" s="25"/>
    </row>
    <row r="181" spans="1:15">
      <c r="A181" s="81"/>
      <c r="B181" s="26"/>
      <c r="D181" s="25"/>
      <c r="L181" s="25"/>
      <c r="M181" s="25"/>
    </row>
    <row r="182" spans="1:15" ht="30" customHeight="1">
      <c r="A182" s="165" t="str">
        <f>IF(O165&gt;0,"Niet van toepassing!",IF(Hulpblad!I262="Nee","Is zowel uw woning afgesloten van het aardgasnet als de elektrische kookvoorziening aangeschaft niet langer dan 24 maanden geleden?","Niet van toepassing!"))</f>
        <v>Niet van toepassing!</v>
      </c>
      <c r="B182" s="50"/>
      <c r="E182" s="87" t="str">
        <f>IF(O165&gt;0,"",IF(Hulpblad!L262="Nee","U komt niet in aanmerking vooor subsidie voor een elektrische kookvoorziening. ",""))</f>
        <v/>
      </c>
    </row>
    <row r="183" spans="1:15" ht="15" customHeight="1">
      <c r="A183" s="164"/>
      <c r="B183" s="50"/>
      <c r="E183" s="27"/>
    </row>
    <row r="184" spans="1:15">
      <c r="A184" s="164"/>
      <c r="B184" s="45"/>
      <c r="G184" s="16" t="s">
        <v>51</v>
      </c>
      <c r="H184" s="16"/>
      <c r="I184" s="16"/>
      <c r="J184" s="16"/>
      <c r="O184" s="17">
        <f>IF(O165&gt;0,0,IF(Hulpblad!L262="Ja",VLOOKUP(Hulpblad!C593,Hulpblad!C592:D593,2,FALSE),0))</f>
        <v>0</v>
      </c>
    </row>
    <row r="185" spans="1:15">
      <c r="A185" s="164"/>
      <c r="B185" s="46"/>
    </row>
    <row r="186" spans="1:15">
      <c r="A186" s="28"/>
      <c r="B186" s="28"/>
    </row>
    <row r="187" spans="1:15">
      <c r="A187" s="16"/>
      <c r="B187" s="16"/>
    </row>
    <row r="188" spans="1:15" ht="18.75">
      <c r="B188" s="29"/>
      <c r="G188" s="82" t="s">
        <v>140</v>
      </c>
      <c r="H188" s="29"/>
      <c r="I188" s="29"/>
      <c r="J188" s="29"/>
      <c r="O188" s="140">
        <f>SUM(O28:O58)+SUM(O67:O77)+O116+O121+O152+O165+O184</f>
        <v>0</v>
      </c>
    </row>
    <row r="189" spans="1:15">
      <c r="O189" s="25"/>
    </row>
    <row r="190" spans="1:15">
      <c r="A190" s="161"/>
      <c r="B190" s="161"/>
      <c r="C190" s="162"/>
    </row>
  </sheetData>
  <sheetProtection algorithmName="SHA-512" hashValue="N1cD8y49xwQh1oGIoSf4WUp4r8zyC86gNeHP4ZBkh+yFm4ESxHsvx8ujz5suOr+JXqzU3gQhhI04vF6bNHWLPw==" saltValue="DT2iEkj18kz21bN7qKQP1A==" spinCount="100000" sheet="1" objects="1" scenarios="1"/>
  <mergeCells count="20">
    <mergeCell ref="Q165:Q166"/>
    <mergeCell ref="Q152:Q153"/>
    <mergeCell ref="A8:C8"/>
    <mergeCell ref="Q114:Q115"/>
    <mergeCell ref="I64:I65"/>
    <mergeCell ref="Q28:Q29"/>
    <mergeCell ref="Q34:Q35"/>
    <mergeCell ref="Q58:Q59"/>
    <mergeCell ref="Q52:Q53"/>
    <mergeCell ref="E178:K178"/>
    <mergeCell ref="A5:O5"/>
    <mergeCell ref="A190:C190"/>
    <mergeCell ref="A165:A166"/>
    <mergeCell ref="A95:A96"/>
    <mergeCell ref="A100:A101"/>
    <mergeCell ref="A105:A106"/>
    <mergeCell ref="A110:A111"/>
    <mergeCell ref="A182:A185"/>
    <mergeCell ref="A14:G14"/>
    <mergeCell ref="G85:G112"/>
  </mergeCells>
  <conditionalFormatting sqref="C143:C147">
    <cfRule type="expression" dxfId="2" priority="4">
      <formula>$A$143=""</formula>
    </cfRule>
    <cfRule type="expression" dxfId="1" priority="5">
      <formula>$A$143=""</formula>
    </cfRule>
  </conditionalFormatting>
  <conditionalFormatting sqref="E129">
    <cfRule type="expression" dxfId="0" priority="1">
      <formula>E128=""</formula>
    </cfRule>
  </conditionalFormatting>
  <dataValidations xWindow="758" yWindow="652" count="1">
    <dataValidation type="whole" allowBlank="1" showInputMessage="1" showErrorMessage="1" error="Vul hier 2024 of 2025 in." prompt="Vul hier 2024 of 2025 in." sqref="E129" xr:uid="{8CC2ACF2-E29E-4E99-B126-7C7282CE7B75}">
      <formula1>2024</formula1>
      <formula2>2025</formula2>
    </dataValidation>
  </dataValidations>
  <hyperlinks>
    <hyperlink ref="A9" r:id="rId1" xr:uid="{47158AD8-F4BE-4684-9E7F-A872EB46414A}"/>
    <hyperlink ref="A10" r:id="rId2" xr:uid="{FBF1111B-5C35-4A3D-AA40-12A6A0720D7E}"/>
    <hyperlink ref="A8" r:id="rId3" xr:uid="{8BDAA56C-B297-4D20-9CA0-573A492E3437}"/>
    <hyperlink ref="A11" r:id="rId4" xr:uid="{3316CA3D-B4B2-408E-9A54-58B00C0F7BBE}"/>
    <hyperlink ref="A160" r:id="rId5" xr:uid="{B0BF26BA-2B1A-4270-A122-F44552B762AB}"/>
    <hyperlink ref="A147" r:id="rId6" xr:uid="{C8204443-5EE0-4E50-A759-F6FCA58C372C}"/>
  </hyperlinks>
  <pageMargins left="0.7" right="0.7" top="0.75" bottom="0.75" header="0.3" footer="0.3"/>
  <pageSetup paperSize="9" scale="37" fitToHeight="0" orientation="landscape" r:id="rId7"/>
  <ignoredErrors>
    <ignoredError sqref="Q165" evalError="1"/>
  </ignoredErrors>
  <drawing r:id="rId8"/>
  <legacyDrawing r:id="rId9"/>
  <mc:AlternateContent xmlns:mc="http://schemas.openxmlformats.org/markup-compatibility/2006">
    <mc:Choice Requires="x14">
      <controls>
        <mc:AlternateContent xmlns:mc="http://schemas.openxmlformats.org/markup-compatibility/2006">
          <mc:Choice Requires="x14">
            <control shapeId="1133" r:id="rId10" name="Option Button 109">
              <controlPr defaultSize="0" autoFill="0" autoLine="0" autoPict="0">
                <anchor moveWithCells="1">
                  <from>
                    <xdr:col>2</xdr:col>
                    <xdr:colOff>19050</xdr:colOff>
                    <xdr:row>28</xdr:row>
                    <xdr:rowOff>0</xdr:rowOff>
                  </from>
                  <to>
                    <xdr:col>2</xdr:col>
                    <xdr:colOff>2266950</xdr:colOff>
                    <xdr:row>28</xdr:row>
                    <xdr:rowOff>180975</xdr:rowOff>
                  </to>
                </anchor>
              </controlPr>
            </control>
          </mc:Choice>
        </mc:AlternateContent>
        <mc:AlternateContent xmlns:mc="http://schemas.openxmlformats.org/markup-compatibility/2006">
          <mc:Choice Requires="x14">
            <control shapeId="1136" r:id="rId11" name="Group Box 112">
              <controlPr defaultSize="0" autoFill="0" autoPict="0" altText="Dakisolatie">
                <anchor moveWithCells="1">
                  <from>
                    <xdr:col>2</xdr:col>
                    <xdr:colOff>0</xdr:colOff>
                    <xdr:row>27</xdr:row>
                    <xdr:rowOff>0</xdr:rowOff>
                  </from>
                  <to>
                    <xdr:col>2</xdr:col>
                    <xdr:colOff>2695575</xdr:colOff>
                    <xdr:row>30</xdr:row>
                    <xdr:rowOff>104775</xdr:rowOff>
                  </to>
                </anchor>
              </controlPr>
            </control>
          </mc:Choice>
        </mc:AlternateContent>
        <mc:AlternateContent xmlns:mc="http://schemas.openxmlformats.org/markup-compatibility/2006">
          <mc:Choice Requires="x14">
            <control shapeId="1141" r:id="rId12" name="Group Box 117">
              <controlPr defaultSize="0" autoFill="0" autoPict="0" altText="Dakisolatie">
                <anchor moveWithCells="1">
                  <from>
                    <xdr:col>2</xdr:col>
                    <xdr:colOff>0</xdr:colOff>
                    <xdr:row>16</xdr:row>
                    <xdr:rowOff>285750</xdr:rowOff>
                  </from>
                  <to>
                    <xdr:col>2</xdr:col>
                    <xdr:colOff>2695575</xdr:colOff>
                    <xdr:row>21</xdr:row>
                    <xdr:rowOff>47625</xdr:rowOff>
                  </to>
                </anchor>
              </controlPr>
            </control>
          </mc:Choice>
        </mc:AlternateContent>
        <mc:AlternateContent xmlns:mc="http://schemas.openxmlformats.org/markup-compatibility/2006">
          <mc:Choice Requires="x14">
            <control shapeId="1142" r:id="rId13" name="Option Button 118">
              <controlPr defaultSize="0" autoFill="0" autoLine="0" autoPict="0">
                <anchor moveWithCells="1">
                  <from>
                    <xdr:col>2</xdr:col>
                    <xdr:colOff>0</xdr:colOff>
                    <xdr:row>18</xdr:row>
                    <xdr:rowOff>9525</xdr:rowOff>
                  </from>
                  <to>
                    <xdr:col>2</xdr:col>
                    <xdr:colOff>2352675</xdr:colOff>
                    <xdr:row>18</xdr:row>
                    <xdr:rowOff>190500</xdr:rowOff>
                  </to>
                </anchor>
              </controlPr>
            </control>
          </mc:Choice>
        </mc:AlternateContent>
        <mc:AlternateContent xmlns:mc="http://schemas.openxmlformats.org/markup-compatibility/2006">
          <mc:Choice Requires="x14">
            <control shapeId="1145" r:id="rId14" name="Option Button 121">
              <controlPr defaultSize="0" autoFill="0" autoLine="0" autoPict="0">
                <anchor moveWithCells="1">
                  <from>
                    <xdr:col>4</xdr:col>
                    <xdr:colOff>28575</xdr:colOff>
                    <xdr:row>27</xdr:row>
                    <xdr:rowOff>171450</xdr:rowOff>
                  </from>
                  <to>
                    <xdr:col>4</xdr:col>
                    <xdr:colOff>2495550</xdr:colOff>
                    <xdr:row>29</xdr:row>
                    <xdr:rowOff>0</xdr:rowOff>
                  </to>
                </anchor>
              </controlPr>
            </control>
          </mc:Choice>
        </mc:AlternateContent>
        <mc:AlternateContent xmlns:mc="http://schemas.openxmlformats.org/markup-compatibility/2006">
          <mc:Choice Requires="x14">
            <control shapeId="1152" r:id="rId15" name="Option Button 128">
              <controlPr defaultSize="0" autoFill="0" autoLine="0" autoPict="0">
                <anchor moveWithCells="1">
                  <from>
                    <xdr:col>2</xdr:col>
                    <xdr:colOff>19050</xdr:colOff>
                    <xdr:row>40</xdr:row>
                    <xdr:rowOff>9525</xdr:rowOff>
                  </from>
                  <to>
                    <xdr:col>2</xdr:col>
                    <xdr:colOff>2324100</xdr:colOff>
                    <xdr:row>41</xdr:row>
                    <xdr:rowOff>0</xdr:rowOff>
                  </to>
                </anchor>
              </controlPr>
            </control>
          </mc:Choice>
        </mc:AlternateContent>
        <mc:AlternateContent xmlns:mc="http://schemas.openxmlformats.org/markup-compatibility/2006">
          <mc:Choice Requires="x14">
            <control shapeId="1157" r:id="rId16" name="Group Box 133">
              <controlPr defaultSize="0" autoFill="0" autoPict="0">
                <anchor moveWithCells="1">
                  <from>
                    <xdr:col>2</xdr:col>
                    <xdr:colOff>0</xdr:colOff>
                    <xdr:row>39</xdr:row>
                    <xdr:rowOff>0</xdr:rowOff>
                  </from>
                  <to>
                    <xdr:col>2</xdr:col>
                    <xdr:colOff>2695575</xdr:colOff>
                    <xdr:row>42</xdr:row>
                    <xdr:rowOff>85725</xdr:rowOff>
                  </to>
                </anchor>
              </controlPr>
            </control>
          </mc:Choice>
        </mc:AlternateContent>
        <mc:AlternateContent xmlns:mc="http://schemas.openxmlformats.org/markup-compatibility/2006">
          <mc:Choice Requires="x14">
            <control shapeId="1180" r:id="rId17" name="Option Button 156">
              <controlPr defaultSize="0" autoFill="0" autoLine="0" autoPict="0">
                <anchor moveWithCells="1">
                  <from>
                    <xdr:col>4</xdr:col>
                    <xdr:colOff>38100</xdr:colOff>
                    <xdr:row>39</xdr:row>
                    <xdr:rowOff>171450</xdr:rowOff>
                  </from>
                  <to>
                    <xdr:col>4</xdr:col>
                    <xdr:colOff>2390775</xdr:colOff>
                    <xdr:row>41</xdr:row>
                    <xdr:rowOff>9525</xdr:rowOff>
                  </to>
                </anchor>
              </controlPr>
            </control>
          </mc:Choice>
        </mc:AlternateContent>
        <mc:AlternateContent xmlns:mc="http://schemas.openxmlformats.org/markup-compatibility/2006">
          <mc:Choice Requires="x14">
            <control shapeId="1186" r:id="rId18" name="Group Box 162">
              <controlPr defaultSize="0" autoFill="0" autoPict="0">
                <anchor moveWithCells="1">
                  <from>
                    <xdr:col>4</xdr:col>
                    <xdr:colOff>9525</xdr:colOff>
                    <xdr:row>27</xdr:row>
                    <xdr:rowOff>0</xdr:rowOff>
                  </from>
                  <to>
                    <xdr:col>4</xdr:col>
                    <xdr:colOff>2705100</xdr:colOff>
                    <xdr:row>32</xdr:row>
                    <xdr:rowOff>38100</xdr:rowOff>
                  </to>
                </anchor>
              </controlPr>
            </control>
          </mc:Choice>
        </mc:AlternateContent>
        <mc:AlternateContent xmlns:mc="http://schemas.openxmlformats.org/markup-compatibility/2006">
          <mc:Choice Requires="x14">
            <control shapeId="1187" r:id="rId19" name="Group Box 163">
              <controlPr defaultSize="0" autoFill="0" autoPict="0">
                <anchor moveWithCells="1">
                  <from>
                    <xdr:col>4</xdr:col>
                    <xdr:colOff>0</xdr:colOff>
                    <xdr:row>39</xdr:row>
                    <xdr:rowOff>0</xdr:rowOff>
                  </from>
                  <to>
                    <xdr:col>4</xdr:col>
                    <xdr:colOff>2695575</xdr:colOff>
                    <xdr:row>44</xdr:row>
                    <xdr:rowOff>47625</xdr:rowOff>
                  </to>
                </anchor>
              </controlPr>
            </control>
          </mc:Choice>
        </mc:AlternateContent>
        <mc:AlternateContent xmlns:mc="http://schemas.openxmlformats.org/markup-compatibility/2006">
          <mc:Choice Requires="x14">
            <control shapeId="1188" r:id="rId20" name="Option Button 164">
              <controlPr defaultSize="0" autoFill="0" autoLine="0" autoPict="0">
                <anchor moveWithCells="1">
                  <from>
                    <xdr:col>2</xdr:col>
                    <xdr:colOff>19050</xdr:colOff>
                    <xdr:row>45</xdr:row>
                    <xdr:rowOff>180975</xdr:rowOff>
                  </from>
                  <to>
                    <xdr:col>2</xdr:col>
                    <xdr:colOff>2428875</xdr:colOff>
                    <xdr:row>47</xdr:row>
                    <xdr:rowOff>19050</xdr:rowOff>
                  </to>
                </anchor>
              </controlPr>
            </control>
          </mc:Choice>
        </mc:AlternateContent>
        <mc:AlternateContent xmlns:mc="http://schemas.openxmlformats.org/markup-compatibility/2006">
          <mc:Choice Requires="x14">
            <control shapeId="1190" r:id="rId21" name="Group Box 166">
              <controlPr defaultSize="0" autoFill="0" autoPict="0">
                <anchor moveWithCells="1">
                  <from>
                    <xdr:col>2</xdr:col>
                    <xdr:colOff>0</xdr:colOff>
                    <xdr:row>45</xdr:row>
                    <xdr:rowOff>0</xdr:rowOff>
                  </from>
                  <to>
                    <xdr:col>2</xdr:col>
                    <xdr:colOff>2695575</xdr:colOff>
                    <xdr:row>48</xdr:row>
                    <xdr:rowOff>104775</xdr:rowOff>
                  </to>
                </anchor>
              </controlPr>
            </control>
          </mc:Choice>
        </mc:AlternateContent>
        <mc:AlternateContent xmlns:mc="http://schemas.openxmlformats.org/markup-compatibility/2006">
          <mc:Choice Requires="x14">
            <control shapeId="1191" r:id="rId22" name="Option Button 167">
              <controlPr defaultSize="0" autoFill="0" autoLine="0" autoPict="0">
                <anchor moveWithCells="1">
                  <from>
                    <xdr:col>4</xdr:col>
                    <xdr:colOff>47625</xdr:colOff>
                    <xdr:row>45</xdr:row>
                    <xdr:rowOff>180975</xdr:rowOff>
                  </from>
                  <to>
                    <xdr:col>4</xdr:col>
                    <xdr:colOff>2505075</xdr:colOff>
                    <xdr:row>47</xdr:row>
                    <xdr:rowOff>9525</xdr:rowOff>
                  </to>
                </anchor>
              </controlPr>
            </control>
          </mc:Choice>
        </mc:AlternateContent>
        <mc:AlternateContent xmlns:mc="http://schemas.openxmlformats.org/markup-compatibility/2006">
          <mc:Choice Requires="x14">
            <control shapeId="1195" r:id="rId23" name="Group Box 171">
              <controlPr defaultSize="0" autoFill="0" autoPict="0">
                <anchor moveWithCells="1">
                  <from>
                    <xdr:col>4</xdr:col>
                    <xdr:colOff>0</xdr:colOff>
                    <xdr:row>45</xdr:row>
                    <xdr:rowOff>0</xdr:rowOff>
                  </from>
                  <to>
                    <xdr:col>4</xdr:col>
                    <xdr:colOff>2695575</xdr:colOff>
                    <xdr:row>50</xdr:row>
                    <xdr:rowOff>47625</xdr:rowOff>
                  </to>
                </anchor>
              </controlPr>
            </control>
          </mc:Choice>
        </mc:AlternateContent>
        <mc:AlternateContent xmlns:mc="http://schemas.openxmlformats.org/markup-compatibility/2006">
          <mc:Choice Requires="x14">
            <control shapeId="1197" r:id="rId24" name="Option Button 173">
              <controlPr defaultSize="0" autoFill="0" autoLine="0" autoPict="0">
                <anchor moveWithCells="1">
                  <from>
                    <xdr:col>2</xdr:col>
                    <xdr:colOff>19050</xdr:colOff>
                    <xdr:row>51</xdr:row>
                    <xdr:rowOff>180975</xdr:rowOff>
                  </from>
                  <to>
                    <xdr:col>2</xdr:col>
                    <xdr:colOff>2295525</xdr:colOff>
                    <xdr:row>53</xdr:row>
                    <xdr:rowOff>9525</xdr:rowOff>
                  </to>
                </anchor>
              </controlPr>
            </control>
          </mc:Choice>
        </mc:AlternateContent>
        <mc:AlternateContent xmlns:mc="http://schemas.openxmlformats.org/markup-compatibility/2006">
          <mc:Choice Requires="x14">
            <control shapeId="1200" r:id="rId25" name="Group Box 176">
              <controlPr defaultSize="0" autoFill="0" autoPict="0">
                <anchor moveWithCells="1">
                  <from>
                    <xdr:col>2</xdr:col>
                    <xdr:colOff>0</xdr:colOff>
                    <xdr:row>51</xdr:row>
                    <xdr:rowOff>0</xdr:rowOff>
                  </from>
                  <to>
                    <xdr:col>2</xdr:col>
                    <xdr:colOff>2695575</xdr:colOff>
                    <xdr:row>54</xdr:row>
                    <xdr:rowOff>104775</xdr:rowOff>
                  </to>
                </anchor>
              </controlPr>
            </control>
          </mc:Choice>
        </mc:AlternateContent>
        <mc:AlternateContent xmlns:mc="http://schemas.openxmlformats.org/markup-compatibility/2006">
          <mc:Choice Requires="x14">
            <control shapeId="1201" r:id="rId26" name="Option Button 177">
              <controlPr defaultSize="0" autoFill="0" autoLine="0" autoPict="0">
                <anchor moveWithCells="1">
                  <from>
                    <xdr:col>4</xdr:col>
                    <xdr:colOff>66675</xdr:colOff>
                    <xdr:row>51</xdr:row>
                    <xdr:rowOff>171450</xdr:rowOff>
                  </from>
                  <to>
                    <xdr:col>4</xdr:col>
                    <xdr:colOff>2409825</xdr:colOff>
                    <xdr:row>53</xdr:row>
                    <xdr:rowOff>9525</xdr:rowOff>
                  </to>
                </anchor>
              </controlPr>
            </control>
          </mc:Choice>
        </mc:AlternateContent>
        <mc:AlternateContent xmlns:mc="http://schemas.openxmlformats.org/markup-compatibility/2006">
          <mc:Choice Requires="x14">
            <control shapeId="1205" r:id="rId27" name="Group Box 181">
              <controlPr defaultSize="0" autoFill="0" autoPict="0">
                <anchor moveWithCells="1">
                  <from>
                    <xdr:col>4</xdr:col>
                    <xdr:colOff>0</xdr:colOff>
                    <xdr:row>51</xdr:row>
                    <xdr:rowOff>0</xdr:rowOff>
                  </from>
                  <to>
                    <xdr:col>4</xdr:col>
                    <xdr:colOff>2695575</xdr:colOff>
                    <xdr:row>56</xdr:row>
                    <xdr:rowOff>47625</xdr:rowOff>
                  </to>
                </anchor>
              </controlPr>
            </control>
          </mc:Choice>
        </mc:AlternateContent>
        <mc:AlternateContent xmlns:mc="http://schemas.openxmlformats.org/markup-compatibility/2006">
          <mc:Choice Requires="x14">
            <control shapeId="1206" r:id="rId28" name="Option Button 182">
              <controlPr defaultSize="0" autoFill="0" autoLine="0" autoPict="0">
                <anchor moveWithCells="1">
                  <from>
                    <xdr:col>2</xdr:col>
                    <xdr:colOff>66675</xdr:colOff>
                    <xdr:row>120</xdr:row>
                    <xdr:rowOff>171450</xdr:rowOff>
                  </from>
                  <to>
                    <xdr:col>2</xdr:col>
                    <xdr:colOff>2447925</xdr:colOff>
                    <xdr:row>122</xdr:row>
                    <xdr:rowOff>0</xdr:rowOff>
                  </to>
                </anchor>
              </controlPr>
            </control>
          </mc:Choice>
        </mc:AlternateContent>
        <mc:AlternateContent xmlns:mc="http://schemas.openxmlformats.org/markup-compatibility/2006">
          <mc:Choice Requires="x14">
            <control shapeId="1216" r:id="rId29" name="Group Box 192">
              <controlPr defaultSize="0" autoFill="0" autoPict="0">
                <anchor moveWithCells="1">
                  <from>
                    <xdr:col>2</xdr:col>
                    <xdr:colOff>0</xdr:colOff>
                    <xdr:row>120</xdr:row>
                    <xdr:rowOff>0</xdr:rowOff>
                  </from>
                  <to>
                    <xdr:col>2</xdr:col>
                    <xdr:colOff>2695575</xdr:colOff>
                    <xdr:row>133</xdr:row>
                    <xdr:rowOff>66675</xdr:rowOff>
                  </to>
                </anchor>
              </controlPr>
            </control>
          </mc:Choice>
        </mc:AlternateContent>
        <mc:AlternateContent xmlns:mc="http://schemas.openxmlformats.org/markup-compatibility/2006">
          <mc:Choice Requires="x14">
            <control shapeId="1237" r:id="rId30" name="Option Button 213">
              <controlPr defaultSize="0" autoFill="0" autoLine="0" autoPict="0">
                <anchor moveWithCells="1">
                  <from>
                    <xdr:col>2</xdr:col>
                    <xdr:colOff>66675</xdr:colOff>
                    <xdr:row>121</xdr:row>
                    <xdr:rowOff>171450</xdr:rowOff>
                  </from>
                  <to>
                    <xdr:col>2</xdr:col>
                    <xdr:colOff>2371725</xdr:colOff>
                    <xdr:row>123</xdr:row>
                    <xdr:rowOff>0</xdr:rowOff>
                  </to>
                </anchor>
              </controlPr>
            </control>
          </mc:Choice>
        </mc:AlternateContent>
        <mc:AlternateContent xmlns:mc="http://schemas.openxmlformats.org/markup-compatibility/2006">
          <mc:Choice Requires="x14">
            <control shapeId="1238" r:id="rId31" name="Option Button 214">
              <controlPr defaultSize="0" autoFill="0" autoLine="0" autoPict="0">
                <anchor moveWithCells="1">
                  <from>
                    <xdr:col>2</xdr:col>
                    <xdr:colOff>66675</xdr:colOff>
                    <xdr:row>122</xdr:row>
                    <xdr:rowOff>171450</xdr:rowOff>
                  </from>
                  <to>
                    <xdr:col>2</xdr:col>
                    <xdr:colOff>2457450</xdr:colOff>
                    <xdr:row>124</xdr:row>
                    <xdr:rowOff>0</xdr:rowOff>
                  </to>
                </anchor>
              </controlPr>
            </control>
          </mc:Choice>
        </mc:AlternateContent>
        <mc:AlternateContent xmlns:mc="http://schemas.openxmlformats.org/markup-compatibility/2006">
          <mc:Choice Requires="x14">
            <control shapeId="1239" r:id="rId32" name="Option Button 215">
              <controlPr defaultSize="0" autoFill="0" autoLine="0" autoPict="0">
                <anchor moveWithCells="1">
                  <from>
                    <xdr:col>2</xdr:col>
                    <xdr:colOff>66675</xdr:colOff>
                    <xdr:row>123</xdr:row>
                    <xdr:rowOff>171450</xdr:rowOff>
                  </from>
                  <to>
                    <xdr:col>2</xdr:col>
                    <xdr:colOff>2466975</xdr:colOff>
                    <xdr:row>125</xdr:row>
                    <xdr:rowOff>0</xdr:rowOff>
                  </to>
                </anchor>
              </controlPr>
            </control>
          </mc:Choice>
        </mc:AlternateContent>
        <mc:AlternateContent xmlns:mc="http://schemas.openxmlformats.org/markup-compatibility/2006">
          <mc:Choice Requires="x14">
            <control shapeId="1240" r:id="rId33" name="Option Button 216">
              <controlPr defaultSize="0" autoFill="0" autoLine="0" autoPict="0">
                <anchor moveWithCells="1">
                  <from>
                    <xdr:col>2</xdr:col>
                    <xdr:colOff>66675</xdr:colOff>
                    <xdr:row>124</xdr:row>
                    <xdr:rowOff>171450</xdr:rowOff>
                  </from>
                  <to>
                    <xdr:col>2</xdr:col>
                    <xdr:colOff>2390775</xdr:colOff>
                    <xdr:row>126</xdr:row>
                    <xdr:rowOff>0</xdr:rowOff>
                  </to>
                </anchor>
              </controlPr>
            </control>
          </mc:Choice>
        </mc:AlternateContent>
        <mc:AlternateContent xmlns:mc="http://schemas.openxmlformats.org/markup-compatibility/2006">
          <mc:Choice Requires="x14">
            <control shapeId="1241" r:id="rId34" name="Option Button 217">
              <controlPr defaultSize="0" autoFill="0" autoLine="0" autoPict="0">
                <anchor moveWithCells="1">
                  <from>
                    <xdr:col>2</xdr:col>
                    <xdr:colOff>66675</xdr:colOff>
                    <xdr:row>125</xdr:row>
                    <xdr:rowOff>171450</xdr:rowOff>
                  </from>
                  <to>
                    <xdr:col>2</xdr:col>
                    <xdr:colOff>2362200</xdr:colOff>
                    <xdr:row>127</xdr:row>
                    <xdr:rowOff>0</xdr:rowOff>
                  </to>
                </anchor>
              </controlPr>
            </control>
          </mc:Choice>
        </mc:AlternateContent>
        <mc:AlternateContent xmlns:mc="http://schemas.openxmlformats.org/markup-compatibility/2006">
          <mc:Choice Requires="x14">
            <control shapeId="1242" r:id="rId35" name="Option Button 218">
              <controlPr defaultSize="0" autoFill="0" autoLine="0" autoPict="0">
                <anchor moveWithCells="1">
                  <from>
                    <xdr:col>2</xdr:col>
                    <xdr:colOff>66675</xdr:colOff>
                    <xdr:row>126</xdr:row>
                    <xdr:rowOff>171450</xdr:rowOff>
                  </from>
                  <to>
                    <xdr:col>2</xdr:col>
                    <xdr:colOff>2438400</xdr:colOff>
                    <xdr:row>128</xdr:row>
                    <xdr:rowOff>0</xdr:rowOff>
                  </to>
                </anchor>
              </controlPr>
            </control>
          </mc:Choice>
        </mc:AlternateContent>
        <mc:AlternateContent xmlns:mc="http://schemas.openxmlformats.org/markup-compatibility/2006">
          <mc:Choice Requires="x14">
            <control shapeId="1243" r:id="rId36" name="Option Button 219">
              <controlPr defaultSize="0" autoFill="0" autoLine="0" autoPict="0">
                <anchor moveWithCells="1">
                  <from>
                    <xdr:col>2</xdr:col>
                    <xdr:colOff>66675</xdr:colOff>
                    <xdr:row>127</xdr:row>
                    <xdr:rowOff>171450</xdr:rowOff>
                  </from>
                  <to>
                    <xdr:col>2</xdr:col>
                    <xdr:colOff>2400300</xdr:colOff>
                    <xdr:row>129</xdr:row>
                    <xdr:rowOff>0</xdr:rowOff>
                  </to>
                </anchor>
              </controlPr>
            </control>
          </mc:Choice>
        </mc:AlternateContent>
        <mc:AlternateContent xmlns:mc="http://schemas.openxmlformats.org/markup-compatibility/2006">
          <mc:Choice Requires="x14">
            <control shapeId="1244" r:id="rId37" name="Option Button 220">
              <controlPr defaultSize="0" autoFill="0" autoLine="0" autoPict="0">
                <anchor moveWithCells="1">
                  <from>
                    <xdr:col>2</xdr:col>
                    <xdr:colOff>66675</xdr:colOff>
                    <xdr:row>128</xdr:row>
                    <xdr:rowOff>171450</xdr:rowOff>
                  </from>
                  <to>
                    <xdr:col>2</xdr:col>
                    <xdr:colOff>2409825</xdr:colOff>
                    <xdr:row>130</xdr:row>
                    <xdr:rowOff>0</xdr:rowOff>
                  </to>
                </anchor>
              </controlPr>
            </control>
          </mc:Choice>
        </mc:AlternateContent>
        <mc:AlternateContent xmlns:mc="http://schemas.openxmlformats.org/markup-compatibility/2006">
          <mc:Choice Requires="x14">
            <control shapeId="1253" r:id="rId38" name="Option Button 229">
              <controlPr defaultSize="0" autoFill="0" autoLine="0" autoPict="0">
                <anchor moveWithCells="1">
                  <from>
                    <xdr:col>2</xdr:col>
                    <xdr:colOff>66675</xdr:colOff>
                    <xdr:row>129</xdr:row>
                    <xdr:rowOff>171450</xdr:rowOff>
                  </from>
                  <to>
                    <xdr:col>2</xdr:col>
                    <xdr:colOff>2362200</xdr:colOff>
                    <xdr:row>131</xdr:row>
                    <xdr:rowOff>0</xdr:rowOff>
                  </to>
                </anchor>
              </controlPr>
            </control>
          </mc:Choice>
        </mc:AlternateContent>
        <mc:AlternateContent xmlns:mc="http://schemas.openxmlformats.org/markup-compatibility/2006">
          <mc:Choice Requires="x14">
            <control shapeId="1254" r:id="rId39" name="Option Button 230">
              <controlPr defaultSize="0" autoFill="0" autoLine="0" autoPict="0">
                <anchor moveWithCells="1">
                  <from>
                    <xdr:col>2</xdr:col>
                    <xdr:colOff>66675</xdr:colOff>
                    <xdr:row>130</xdr:row>
                    <xdr:rowOff>171450</xdr:rowOff>
                  </from>
                  <to>
                    <xdr:col>2</xdr:col>
                    <xdr:colOff>2419350</xdr:colOff>
                    <xdr:row>132</xdr:row>
                    <xdr:rowOff>0</xdr:rowOff>
                  </to>
                </anchor>
              </controlPr>
            </control>
          </mc:Choice>
        </mc:AlternateContent>
        <mc:AlternateContent xmlns:mc="http://schemas.openxmlformats.org/markup-compatibility/2006">
          <mc:Choice Requires="x14">
            <control shapeId="1259" r:id="rId40" name="Option Button 235">
              <controlPr defaultSize="0" autoFill="0" autoLine="0" autoPict="0">
                <anchor moveWithCells="1">
                  <from>
                    <xdr:col>2</xdr:col>
                    <xdr:colOff>66675</xdr:colOff>
                    <xdr:row>131</xdr:row>
                    <xdr:rowOff>171450</xdr:rowOff>
                  </from>
                  <to>
                    <xdr:col>2</xdr:col>
                    <xdr:colOff>2466975</xdr:colOff>
                    <xdr:row>133</xdr:row>
                    <xdr:rowOff>0</xdr:rowOff>
                  </to>
                </anchor>
              </controlPr>
            </control>
          </mc:Choice>
        </mc:AlternateContent>
        <mc:AlternateContent xmlns:mc="http://schemas.openxmlformats.org/markup-compatibility/2006">
          <mc:Choice Requires="x14">
            <control shapeId="1263" r:id="rId41" name="Option Button 239">
              <controlPr defaultSize="0" autoFill="0" autoLine="0" autoPict="0">
                <anchor moveWithCells="1">
                  <from>
                    <xdr:col>2</xdr:col>
                    <xdr:colOff>85725</xdr:colOff>
                    <xdr:row>135</xdr:row>
                    <xdr:rowOff>180975</xdr:rowOff>
                  </from>
                  <to>
                    <xdr:col>2</xdr:col>
                    <xdr:colOff>2486025</xdr:colOff>
                    <xdr:row>137</xdr:row>
                    <xdr:rowOff>9525</xdr:rowOff>
                  </to>
                </anchor>
              </controlPr>
            </control>
          </mc:Choice>
        </mc:AlternateContent>
        <mc:AlternateContent xmlns:mc="http://schemas.openxmlformats.org/markup-compatibility/2006">
          <mc:Choice Requires="x14">
            <control shapeId="1273" r:id="rId42" name="Option Button 249">
              <controlPr defaultSize="0" autoFill="0" autoLine="0" autoPict="0">
                <anchor moveWithCells="1">
                  <from>
                    <xdr:col>2</xdr:col>
                    <xdr:colOff>85725</xdr:colOff>
                    <xdr:row>136</xdr:row>
                    <xdr:rowOff>180975</xdr:rowOff>
                  </from>
                  <to>
                    <xdr:col>2</xdr:col>
                    <xdr:colOff>2457450</xdr:colOff>
                    <xdr:row>138</xdr:row>
                    <xdr:rowOff>9525</xdr:rowOff>
                  </to>
                </anchor>
              </controlPr>
            </control>
          </mc:Choice>
        </mc:AlternateContent>
        <mc:AlternateContent xmlns:mc="http://schemas.openxmlformats.org/markup-compatibility/2006">
          <mc:Choice Requires="x14">
            <control shapeId="1274" r:id="rId43" name="Option Button 250">
              <controlPr defaultSize="0" autoFill="0" autoLine="0" autoPict="0">
                <anchor moveWithCells="1">
                  <from>
                    <xdr:col>2</xdr:col>
                    <xdr:colOff>85725</xdr:colOff>
                    <xdr:row>137</xdr:row>
                    <xdr:rowOff>180975</xdr:rowOff>
                  </from>
                  <to>
                    <xdr:col>2</xdr:col>
                    <xdr:colOff>2295525</xdr:colOff>
                    <xdr:row>139</xdr:row>
                    <xdr:rowOff>9525</xdr:rowOff>
                  </to>
                </anchor>
              </controlPr>
            </control>
          </mc:Choice>
        </mc:AlternateContent>
        <mc:AlternateContent xmlns:mc="http://schemas.openxmlformats.org/markup-compatibility/2006">
          <mc:Choice Requires="x14">
            <control shapeId="1275" r:id="rId44" name="Option Button 251">
              <controlPr defaultSize="0" autoFill="0" autoLine="0" autoPict="0">
                <anchor moveWithCells="1">
                  <from>
                    <xdr:col>2</xdr:col>
                    <xdr:colOff>85725</xdr:colOff>
                    <xdr:row>138</xdr:row>
                    <xdr:rowOff>180975</xdr:rowOff>
                  </from>
                  <to>
                    <xdr:col>2</xdr:col>
                    <xdr:colOff>2390775</xdr:colOff>
                    <xdr:row>140</xdr:row>
                    <xdr:rowOff>9525</xdr:rowOff>
                  </to>
                </anchor>
              </controlPr>
            </control>
          </mc:Choice>
        </mc:AlternateContent>
        <mc:AlternateContent xmlns:mc="http://schemas.openxmlformats.org/markup-compatibility/2006">
          <mc:Choice Requires="x14">
            <control shapeId="1276" r:id="rId45" name="Option Button 252">
              <controlPr defaultSize="0" autoFill="0" autoLine="0" autoPict="0">
                <anchor moveWithCells="1">
                  <from>
                    <xdr:col>2</xdr:col>
                    <xdr:colOff>85725</xdr:colOff>
                    <xdr:row>139</xdr:row>
                    <xdr:rowOff>180975</xdr:rowOff>
                  </from>
                  <to>
                    <xdr:col>2</xdr:col>
                    <xdr:colOff>2286000</xdr:colOff>
                    <xdr:row>141</xdr:row>
                    <xdr:rowOff>9525</xdr:rowOff>
                  </to>
                </anchor>
              </controlPr>
            </control>
          </mc:Choice>
        </mc:AlternateContent>
        <mc:AlternateContent xmlns:mc="http://schemas.openxmlformats.org/markup-compatibility/2006">
          <mc:Choice Requires="x14">
            <control shapeId="1277" r:id="rId46" name="Group Box 253">
              <controlPr defaultSize="0" autoFill="0" autoPict="0">
                <anchor moveWithCells="1">
                  <from>
                    <xdr:col>2</xdr:col>
                    <xdr:colOff>9525</xdr:colOff>
                    <xdr:row>135</xdr:row>
                    <xdr:rowOff>57150</xdr:rowOff>
                  </from>
                  <to>
                    <xdr:col>2</xdr:col>
                    <xdr:colOff>2705100</xdr:colOff>
                    <xdr:row>141</xdr:row>
                    <xdr:rowOff>66675</xdr:rowOff>
                  </to>
                </anchor>
              </controlPr>
            </control>
          </mc:Choice>
        </mc:AlternateContent>
        <mc:AlternateContent xmlns:mc="http://schemas.openxmlformats.org/markup-compatibility/2006">
          <mc:Choice Requires="x14">
            <control shapeId="1278" r:id="rId47" name="Option Button 254">
              <controlPr defaultSize="0" autoFill="0" autoLine="0" autoPict="0">
                <anchor moveWithCells="1">
                  <from>
                    <xdr:col>2</xdr:col>
                    <xdr:colOff>0</xdr:colOff>
                    <xdr:row>19</xdr:row>
                    <xdr:rowOff>9525</xdr:rowOff>
                  </from>
                  <to>
                    <xdr:col>2</xdr:col>
                    <xdr:colOff>2600325</xdr:colOff>
                    <xdr:row>19</xdr:row>
                    <xdr:rowOff>190500</xdr:rowOff>
                  </to>
                </anchor>
              </controlPr>
            </control>
          </mc:Choice>
        </mc:AlternateContent>
        <mc:AlternateContent xmlns:mc="http://schemas.openxmlformats.org/markup-compatibility/2006">
          <mc:Choice Requires="x14">
            <control shapeId="1279" r:id="rId48" name="Option Button 255">
              <controlPr defaultSize="0" autoFill="0" autoLine="0" autoPict="0">
                <anchor moveWithCells="1">
                  <from>
                    <xdr:col>2</xdr:col>
                    <xdr:colOff>0</xdr:colOff>
                    <xdr:row>20</xdr:row>
                    <xdr:rowOff>9525</xdr:rowOff>
                  </from>
                  <to>
                    <xdr:col>2</xdr:col>
                    <xdr:colOff>2628900</xdr:colOff>
                    <xdr:row>20</xdr:row>
                    <xdr:rowOff>190500</xdr:rowOff>
                  </to>
                </anchor>
              </controlPr>
            </control>
          </mc:Choice>
        </mc:AlternateContent>
        <mc:AlternateContent xmlns:mc="http://schemas.openxmlformats.org/markup-compatibility/2006">
          <mc:Choice Requires="x14">
            <control shapeId="1280" r:id="rId49" name="Option Button 256">
              <controlPr defaultSize="0" autoFill="0" autoLine="0" autoPict="0">
                <anchor moveWithCells="1">
                  <from>
                    <xdr:col>2</xdr:col>
                    <xdr:colOff>19050</xdr:colOff>
                    <xdr:row>29</xdr:row>
                    <xdr:rowOff>0</xdr:rowOff>
                  </from>
                  <to>
                    <xdr:col>2</xdr:col>
                    <xdr:colOff>2362200</xdr:colOff>
                    <xdr:row>29</xdr:row>
                    <xdr:rowOff>180975</xdr:rowOff>
                  </to>
                </anchor>
              </controlPr>
            </control>
          </mc:Choice>
        </mc:AlternateContent>
        <mc:AlternateContent xmlns:mc="http://schemas.openxmlformats.org/markup-compatibility/2006">
          <mc:Choice Requires="x14">
            <control shapeId="1282" r:id="rId50" name="Option Button 258">
              <controlPr defaultSize="0" autoFill="0" autoLine="0" autoPict="0">
                <anchor moveWithCells="1">
                  <from>
                    <xdr:col>4</xdr:col>
                    <xdr:colOff>28575</xdr:colOff>
                    <xdr:row>28</xdr:row>
                    <xdr:rowOff>171450</xdr:rowOff>
                  </from>
                  <to>
                    <xdr:col>4</xdr:col>
                    <xdr:colOff>2476500</xdr:colOff>
                    <xdr:row>30</xdr:row>
                    <xdr:rowOff>0</xdr:rowOff>
                  </to>
                </anchor>
              </controlPr>
            </control>
          </mc:Choice>
        </mc:AlternateContent>
        <mc:AlternateContent xmlns:mc="http://schemas.openxmlformats.org/markup-compatibility/2006">
          <mc:Choice Requires="x14">
            <control shapeId="1283" r:id="rId51" name="Option Button 259">
              <controlPr defaultSize="0" autoFill="0" autoLine="0" autoPict="0">
                <anchor moveWithCells="1">
                  <from>
                    <xdr:col>4</xdr:col>
                    <xdr:colOff>28575</xdr:colOff>
                    <xdr:row>29</xdr:row>
                    <xdr:rowOff>171450</xdr:rowOff>
                  </from>
                  <to>
                    <xdr:col>4</xdr:col>
                    <xdr:colOff>2371725</xdr:colOff>
                    <xdr:row>31</xdr:row>
                    <xdr:rowOff>0</xdr:rowOff>
                  </to>
                </anchor>
              </controlPr>
            </control>
          </mc:Choice>
        </mc:AlternateContent>
        <mc:AlternateContent xmlns:mc="http://schemas.openxmlformats.org/markup-compatibility/2006">
          <mc:Choice Requires="x14">
            <control shapeId="1287" r:id="rId52" name="Option Button 263">
              <controlPr defaultSize="0" autoFill="0" autoLine="0" autoPict="0">
                <anchor moveWithCells="1">
                  <from>
                    <xdr:col>2</xdr:col>
                    <xdr:colOff>19050</xdr:colOff>
                    <xdr:row>41</xdr:row>
                    <xdr:rowOff>9525</xdr:rowOff>
                  </from>
                  <to>
                    <xdr:col>2</xdr:col>
                    <xdr:colOff>2552700</xdr:colOff>
                    <xdr:row>42</xdr:row>
                    <xdr:rowOff>0</xdr:rowOff>
                  </to>
                </anchor>
              </controlPr>
            </control>
          </mc:Choice>
        </mc:AlternateContent>
        <mc:AlternateContent xmlns:mc="http://schemas.openxmlformats.org/markup-compatibility/2006">
          <mc:Choice Requires="x14">
            <control shapeId="1288" r:id="rId53" name="Option Button 264">
              <controlPr defaultSize="0" autoFill="0" autoLine="0" autoPict="0">
                <anchor moveWithCells="1">
                  <from>
                    <xdr:col>4</xdr:col>
                    <xdr:colOff>38100</xdr:colOff>
                    <xdr:row>40</xdr:row>
                    <xdr:rowOff>171450</xdr:rowOff>
                  </from>
                  <to>
                    <xdr:col>4</xdr:col>
                    <xdr:colOff>2533650</xdr:colOff>
                    <xdr:row>42</xdr:row>
                    <xdr:rowOff>9525</xdr:rowOff>
                  </to>
                </anchor>
              </controlPr>
            </control>
          </mc:Choice>
        </mc:AlternateContent>
        <mc:AlternateContent xmlns:mc="http://schemas.openxmlformats.org/markup-compatibility/2006">
          <mc:Choice Requires="x14">
            <control shapeId="1289" r:id="rId54" name="Option Button 265">
              <controlPr defaultSize="0" autoFill="0" autoLine="0" autoPict="0">
                <anchor moveWithCells="1">
                  <from>
                    <xdr:col>4</xdr:col>
                    <xdr:colOff>38100</xdr:colOff>
                    <xdr:row>41</xdr:row>
                    <xdr:rowOff>171450</xdr:rowOff>
                  </from>
                  <to>
                    <xdr:col>4</xdr:col>
                    <xdr:colOff>2571750</xdr:colOff>
                    <xdr:row>43</xdr:row>
                    <xdr:rowOff>9525</xdr:rowOff>
                  </to>
                </anchor>
              </controlPr>
            </control>
          </mc:Choice>
        </mc:AlternateContent>
        <mc:AlternateContent xmlns:mc="http://schemas.openxmlformats.org/markup-compatibility/2006">
          <mc:Choice Requires="x14">
            <control shapeId="1292" r:id="rId55" name="Option Button 268">
              <controlPr defaultSize="0" autoFill="0" autoLine="0" autoPict="0">
                <anchor moveWithCells="1">
                  <from>
                    <xdr:col>2</xdr:col>
                    <xdr:colOff>19050</xdr:colOff>
                    <xdr:row>46</xdr:row>
                    <xdr:rowOff>180975</xdr:rowOff>
                  </from>
                  <to>
                    <xdr:col>2</xdr:col>
                    <xdr:colOff>2486025</xdr:colOff>
                    <xdr:row>48</xdr:row>
                    <xdr:rowOff>19050</xdr:rowOff>
                  </to>
                </anchor>
              </controlPr>
            </control>
          </mc:Choice>
        </mc:AlternateContent>
        <mc:AlternateContent xmlns:mc="http://schemas.openxmlformats.org/markup-compatibility/2006">
          <mc:Choice Requires="x14">
            <control shapeId="1293" r:id="rId56" name="Option Button 269">
              <controlPr defaultSize="0" autoFill="0" autoLine="0" autoPict="0">
                <anchor moveWithCells="1">
                  <from>
                    <xdr:col>4</xdr:col>
                    <xdr:colOff>47625</xdr:colOff>
                    <xdr:row>46</xdr:row>
                    <xdr:rowOff>180975</xdr:rowOff>
                  </from>
                  <to>
                    <xdr:col>4</xdr:col>
                    <xdr:colOff>2600325</xdr:colOff>
                    <xdr:row>48</xdr:row>
                    <xdr:rowOff>9525</xdr:rowOff>
                  </to>
                </anchor>
              </controlPr>
            </control>
          </mc:Choice>
        </mc:AlternateContent>
        <mc:AlternateContent xmlns:mc="http://schemas.openxmlformats.org/markup-compatibility/2006">
          <mc:Choice Requires="x14">
            <control shapeId="1294" r:id="rId57" name="Option Button 270">
              <controlPr defaultSize="0" autoFill="0" autoLine="0" autoPict="0">
                <anchor moveWithCells="1">
                  <from>
                    <xdr:col>4</xdr:col>
                    <xdr:colOff>47625</xdr:colOff>
                    <xdr:row>47</xdr:row>
                    <xdr:rowOff>180975</xdr:rowOff>
                  </from>
                  <to>
                    <xdr:col>4</xdr:col>
                    <xdr:colOff>2638425</xdr:colOff>
                    <xdr:row>49</xdr:row>
                    <xdr:rowOff>9525</xdr:rowOff>
                  </to>
                </anchor>
              </controlPr>
            </control>
          </mc:Choice>
        </mc:AlternateContent>
        <mc:AlternateContent xmlns:mc="http://schemas.openxmlformats.org/markup-compatibility/2006">
          <mc:Choice Requires="x14">
            <control shapeId="1300" r:id="rId58" name="Option Button 276">
              <controlPr defaultSize="0" autoFill="0" autoLine="0" autoPict="0">
                <anchor moveWithCells="1">
                  <from>
                    <xdr:col>2</xdr:col>
                    <xdr:colOff>19050</xdr:colOff>
                    <xdr:row>52</xdr:row>
                    <xdr:rowOff>180975</xdr:rowOff>
                  </from>
                  <to>
                    <xdr:col>2</xdr:col>
                    <xdr:colOff>2162175</xdr:colOff>
                    <xdr:row>54</xdr:row>
                    <xdr:rowOff>9525</xdr:rowOff>
                  </to>
                </anchor>
              </controlPr>
            </control>
          </mc:Choice>
        </mc:AlternateContent>
        <mc:AlternateContent xmlns:mc="http://schemas.openxmlformats.org/markup-compatibility/2006">
          <mc:Choice Requires="x14">
            <control shapeId="1302" r:id="rId59" name="Option Button 278">
              <controlPr defaultSize="0" autoFill="0" autoLine="0" autoPict="0">
                <anchor moveWithCells="1">
                  <from>
                    <xdr:col>4</xdr:col>
                    <xdr:colOff>66675</xdr:colOff>
                    <xdr:row>52</xdr:row>
                    <xdr:rowOff>171450</xdr:rowOff>
                  </from>
                  <to>
                    <xdr:col>4</xdr:col>
                    <xdr:colOff>2581275</xdr:colOff>
                    <xdr:row>54</xdr:row>
                    <xdr:rowOff>9525</xdr:rowOff>
                  </to>
                </anchor>
              </controlPr>
            </control>
          </mc:Choice>
        </mc:AlternateContent>
        <mc:AlternateContent xmlns:mc="http://schemas.openxmlformats.org/markup-compatibility/2006">
          <mc:Choice Requires="x14">
            <control shapeId="1303" r:id="rId60" name="Option Button 279">
              <controlPr defaultSize="0" autoFill="0" autoLine="0" autoPict="0">
                <anchor moveWithCells="1">
                  <from>
                    <xdr:col>4</xdr:col>
                    <xdr:colOff>66675</xdr:colOff>
                    <xdr:row>53</xdr:row>
                    <xdr:rowOff>171450</xdr:rowOff>
                  </from>
                  <to>
                    <xdr:col>4</xdr:col>
                    <xdr:colOff>2524125</xdr:colOff>
                    <xdr:row>55</xdr:row>
                    <xdr:rowOff>9525</xdr:rowOff>
                  </to>
                </anchor>
              </controlPr>
            </control>
          </mc:Choice>
        </mc:AlternateContent>
        <mc:AlternateContent xmlns:mc="http://schemas.openxmlformats.org/markup-compatibility/2006">
          <mc:Choice Requires="x14">
            <control shapeId="1312" r:id="rId61" name="Check Box 288">
              <controlPr defaultSize="0" autoFill="0" autoLine="0" autoPict="0" altText="Biobased">
                <anchor moveWithCells="1">
                  <from>
                    <xdr:col>2</xdr:col>
                    <xdr:colOff>0</xdr:colOff>
                    <xdr:row>69</xdr:row>
                    <xdr:rowOff>171450</xdr:rowOff>
                  </from>
                  <to>
                    <xdr:col>2</xdr:col>
                    <xdr:colOff>1962150</xdr:colOff>
                    <xdr:row>71</xdr:row>
                    <xdr:rowOff>28575</xdr:rowOff>
                  </to>
                </anchor>
              </controlPr>
            </control>
          </mc:Choice>
        </mc:AlternateContent>
        <mc:AlternateContent xmlns:mc="http://schemas.openxmlformats.org/markup-compatibility/2006">
          <mc:Choice Requires="x14">
            <control shapeId="1314" r:id="rId62" name="Check Box 290">
              <controlPr defaultSize="0" autoFill="0" autoLine="0" autoPict="0" altText="Biobased">
                <anchor moveWithCells="1">
                  <from>
                    <xdr:col>2</xdr:col>
                    <xdr:colOff>0</xdr:colOff>
                    <xdr:row>71</xdr:row>
                    <xdr:rowOff>171450</xdr:rowOff>
                  </from>
                  <to>
                    <xdr:col>2</xdr:col>
                    <xdr:colOff>1962150</xdr:colOff>
                    <xdr:row>73</xdr:row>
                    <xdr:rowOff>28575</xdr:rowOff>
                  </to>
                </anchor>
              </controlPr>
            </control>
          </mc:Choice>
        </mc:AlternateContent>
        <mc:AlternateContent xmlns:mc="http://schemas.openxmlformats.org/markup-compatibility/2006">
          <mc:Choice Requires="x14">
            <control shapeId="1316" r:id="rId63" name="Check Box 292">
              <controlPr defaultSize="0" autoFill="0" autoLine="0" autoPict="0" altText="Biobased">
                <anchor moveWithCells="1">
                  <from>
                    <xdr:col>2</xdr:col>
                    <xdr:colOff>0</xdr:colOff>
                    <xdr:row>73</xdr:row>
                    <xdr:rowOff>171450</xdr:rowOff>
                  </from>
                  <to>
                    <xdr:col>2</xdr:col>
                    <xdr:colOff>1962150</xdr:colOff>
                    <xdr:row>75</xdr:row>
                    <xdr:rowOff>28575</xdr:rowOff>
                  </to>
                </anchor>
              </controlPr>
            </control>
          </mc:Choice>
        </mc:AlternateContent>
        <mc:AlternateContent xmlns:mc="http://schemas.openxmlformats.org/markup-compatibility/2006">
          <mc:Choice Requires="x14">
            <control shapeId="1317" r:id="rId64" name="Option Button 293">
              <controlPr defaultSize="0" autoFill="0" autoLine="0" autoPict="0">
                <anchor moveWithCells="1">
                  <from>
                    <xdr:col>4</xdr:col>
                    <xdr:colOff>47625</xdr:colOff>
                    <xdr:row>120</xdr:row>
                    <xdr:rowOff>180975</xdr:rowOff>
                  </from>
                  <to>
                    <xdr:col>4</xdr:col>
                    <xdr:colOff>2552700</xdr:colOff>
                    <xdr:row>122</xdr:row>
                    <xdr:rowOff>19050</xdr:rowOff>
                  </to>
                </anchor>
              </controlPr>
            </control>
          </mc:Choice>
        </mc:AlternateContent>
        <mc:AlternateContent xmlns:mc="http://schemas.openxmlformats.org/markup-compatibility/2006">
          <mc:Choice Requires="x14">
            <control shapeId="1318" r:id="rId65" name="Option Button 294">
              <controlPr defaultSize="0" autoFill="0" autoLine="0" autoPict="0">
                <anchor moveWithCells="1">
                  <from>
                    <xdr:col>4</xdr:col>
                    <xdr:colOff>47625</xdr:colOff>
                    <xdr:row>121</xdr:row>
                    <xdr:rowOff>180975</xdr:rowOff>
                  </from>
                  <to>
                    <xdr:col>4</xdr:col>
                    <xdr:colOff>2524125</xdr:colOff>
                    <xdr:row>123</xdr:row>
                    <xdr:rowOff>19050</xdr:rowOff>
                  </to>
                </anchor>
              </controlPr>
            </control>
          </mc:Choice>
        </mc:AlternateContent>
        <mc:AlternateContent xmlns:mc="http://schemas.openxmlformats.org/markup-compatibility/2006">
          <mc:Choice Requires="x14">
            <control shapeId="1319" r:id="rId66" name="Group Box 295">
              <controlPr defaultSize="0" autoFill="0" autoPict="0">
                <anchor moveWithCells="1">
                  <from>
                    <xdr:col>4</xdr:col>
                    <xdr:colOff>0</xdr:colOff>
                    <xdr:row>120</xdr:row>
                    <xdr:rowOff>0</xdr:rowOff>
                  </from>
                  <to>
                    <xdr:col>4</xdr:col>
                    <xdr:colOff>2695575</xdr:colOff>
                    <xdr:row>125</xdr:row>
                    <xdr:rowOff>114300</xdr:rowOff>
                  </to>
                </anchor>
              </controlPr>
            </control>
          </mc:Choice>
        </mc:AlternateContent>
        <mc:AlternateContent xmlns:mc="http://schemas.openxmlformats.org/markup-compatibility/2006">
          <mc:Choice Requires="x14">
            <control shapeId="1320" r:id="rId67" name="Option Button 296">
              <controlPr defaultSize="0" autoFill="0" autoLine="0" autoPict="0">
                <anchor moveWithCells="1">
                  <from>
                    <xdr:col>4</xdr:col>
                    <xdr:colOff>47625</xdr:colOff>
                    <xdr:row>122</xdr:row>
                    <xdr:rowOff>180975</xdr:rowOff>
                  </from>
                  <to>
                    <xdr:col>4</xdr:col>
                    <xdr:colOff>2552700</xdr:colOff>
                    <xdr:row>124</xdr:row>
                    <xdr:rowOff>19050</xdr:rowOff>
                  </to>
                </anchor>
              </controlPr>
            </control>
          </mc:Choice>
        </mc:AlternateContent>
        <mc:AlternateContent xmlns:mc="http://schemas.openxmlformats.org/markup-compatibility/2006">
          <mc:Choice Requires="x14">
            <control shapeId="1321" r:id="rId68" name="Option Button 297">
              <controlPr defaultSize="0" autoFill="0" autoLine="0" autoPict="0">
                <anchor moveWithCells="1">
                  <from>
                    <xdr:col>2</xdr:col>
                    <xdr:colOff>66675</xdr:colOff>
                    <xdr:row>151</xdr:row>
                    <xdr:rowOff>180975</xdr:rowOff>
                  </from>
                  <to>
                    <xdr:col>2</xdr:col>
                    <xdr:colOff>2228850</xdr:colOff>
                    <xdr:row>153</xdr:row>
                    <xdr:rowOff>9525</xdr:rowOff>
                  </to>
                </anchor>
              </controlPr>
            </control>
          </mc:Choice>
        </mc:AlternateContent>
        <mc:AlternateContent xmlns:mc="http://schemas.openxmlformats.org/markup-compatibility/2006">
          <mc:Choice Requires="x14">
            <control shapeId="1322" r:id="rId69" name="Option Button 298">
              <controlPr defaultSize="0" autoFill="0" autoLine="0" autoPict="0">
                <anchor moveWithCells="1">
                  <from>
                    <xdr:col>2</xdr:col>
                    <xdr:colOff>66675</xdr:colOff>
                    <xdr:row>152</xdr:row>
                    <xdr:rowOff>180975</xdr:rowOff>
                  </from>
                  <to>
                    <xdr:col>2</xdr:col>
                    <xdr:colOff>2314575</xdr:colOff>
                    <xdr:row>154</xdr:row>
                    <xdr:rowOff>9525</xdr:rowOff>
                  </to>
                </anchor>
              </controlPr>
            </control>
          </mc:Choice>
        </mc:AlternateContent>
        <mc:AlternateContent xmlns:mc="http://schemas.openxmlformats.org/markup-compatibility/2006">
          <mc:Choice Requires="x14">
            <control shapeId="1323" r:id="rId70" name="Option Button 299">
              <controlPr defaultSize="0" autoFill="0" autoLine="0" autoPict="0">
                <anchor moveWithCells="1">
                  <from>
                    <xdr:col>2</xdr:col>
                    <xdr:colOff>66675</xdr:colOff>
                    <xdr:row>153</xdr:row>
                    <xdr:rowOff>180975</xdr:rowOff>
                  </from>
                  <to>
                    <xdr:col>2</xdr:col>
                    <xdr:colOff>2181225</xdr:colOff>
                    <xdr:row>155</xdr:row>
                    <xdr:rowOff>9525</xdr:rowOff>
                  </to>
                </anchor>
              </controlPr>
            </control>
          </mc:Choice>
        </mc:AlternateContent>
        <mc:AlternateContent xmlns:mc="http://schemas.openxmlformats.org/markup-compatibility/2006">
          <mc:Choice Requires="x14">
            <control shapeId="1324" r:id="rId71" name="Option Button 300">
              <controlPr defaultSize="0" autoFill="0" autoLine="0" autoPict="0">
                <anchor moveWithCells="1">
                  <from>
                    <xdr:col>2</xdr:col>
                    <xdr:colOff>66675</xdr:colOff>
                    <xdr:row>154</xdr:row>
                    <xdr:rowOff>180975</xdr:rowOff>
                  </from>
                  <to>
                    <xdr:col>2</xdr:col>
                    <xdr:colOff>2324100</xdr:colOff>
                    <xdr:row>156</xdr:row>
                    <xdr:rowOff>9525</xdr:rowOff>
                  </to>
                </anchor>
              </controlPr>
            </control>
          </mc:Choice>
        </mc:AlternateContent>
        <mc:AlternateContent xmlns:mc="http://schemas.openxmlformats.org/markup-compatibility/2006">
          <mc:Choice Requires="x14">
            <control shapeId="1325" r:id="rId72" name="Option Button 301">
              <controlPr defaultSize="0" autoFill="0" autoLine="0" autoPict="0">
                <anchor moveWithCells="1">
                  <from>
                    <xdr:col>2</xdr:col>
                    <xdr:colOff>66675</xdr:colOff>
                    <xdr:row>155</xdr:row>
                    <xdr:rowOff>180975</xdr:rowOff>
                  </from>
                  <to>
                    <xdr:col>2</xdr:col>
                    <xdr:colOff>2333625</xdr:colOff>
                    <xdr:row>157</xdr:row>
                    <xdr:rowOff>9525</xdr:rowOff>
                  </to>
                </anchor>
              </controlPr>
            </control>
          </mc:Choice>
        </mc:AlternateContent>
        <mc:AlternateContent xmlns:mc="http://schemas.openxmlformats.org/markup-compatibility/2006">
          <mc:Choice Requires="x14">
            <control shapeId="1327" r:id="rId73" name="Group Box 303">
              <controlPr defaultSize="0" autoFill="0" autoPict="0">
                <anchor moveWithCells="1">
                  <from>
                    <xdr:col>2</xdr:col>
                    <xdr:colOff>9525</xdr:colOff>
                    <xdr:row>151</xdr:row>
                    <xdr:rowOff>0</xdr:rowOff>
                  </from>
                  <to>
                    <xdr:col>2</xdr:col>
                    <xdr:colOff>2705100</xdr:colOff>
                    <xdr:row>157</xdr:row>
                    <xdr:rowOff>76200</xdr:rowOff>
                  </to>
                </anchor>
              </controlPr>
            </control>
          </mc:Choice>
        </mc:AlternateContent>
        <mc:AlternateContent xmlns:mc="http://schemas.openxmlformats.org/markup-compatibility/2006">
          <mc:Choice Requires="x14">
            <control shapeId="1328" r:id="rId74" name="Option Button 304">
              <controlPr defaultSize="0" autoFill="0" autoLine="0" autoPict="0">
                <anchor moveWithCells="1">
                  <from>
                    <xdr:col>2</xdr:col>
                    <xdr:colOff>85725</xdr:colOff>
                    <xdr:row>164</xdr:row>
                    <xdr:rowOff>180975</xdr:rowOff>
                  </from>
                  <to>
                    <xdr:col>2</xdr:col>
                    <xdr:colOff>2409825</xdr:colOff>
                    <xdr:row>166</xdr:row>
                    <xdr:rowOff>9525</xdr:rowOff>
                  </to>
                </anchor>
              </controlPr>
            </control>
          </mc:Choice>
        </mc:AlternateContent>
        <mc:AlternateContent xmlns:mc="http://schemas.openxmlformats.org/markup-compatibility/2006">
          <mc:Choice Requires="x14">
            <control shapeId="1329" r:id="rId75" name="Option Button 305">
              <controlPr defaultSize="0" autoFill="0" autoLine="0" autoPict="0">
                <anchor moveWithCells="1">
                  <from>
                    <xdr:col>2</xdr:col>
                    <xdr:colOff>85725</xdr:colOff>
                    <xdr:row>165</xdr:row>
                    <xdr:rowOff>180975</xdr:rowOff>
                  </from>
                  <to>
                    <xdr:col>2</xdr:col>
                    <xdr:colOff>2333625</xdr:colOff>
                    <xdr:row>167</xdr:row>
                    <xdr:rowOff>9525</xdr:rowOff>
                  </to>
                </anchor>
              </controlPr>
            </control>
          </mc:Choice>
        </mc:AlternateContent>
        <mc:AlternateContent xmlns:mc="http://schemas.openxmlformats.org/markup-compatibility/2006">
          <mc:Choice Requires="x14">
            <control shapeId="1330" r:id="rId76" name="Group Box 306">
              <controlPr defaultSize="0" autoFill="0" autoPict="0">
                <anchor moveWithCells="1">
                  <from>
                    <xdr:col>2</xdr:col>
                    <xdr:colOff>9525</xdr:colOff>
                    <xdr:row>164</xdr:row>
                    <xdr:rowOff>9525</xdr:rowOff>
                  </from>
                  <to>
                    <xdr:col>2</xdr:col>
                    <xdr:colOff>2705100</xdr:colOff>
                    <xdr:row>167</xdr:row>
                    <xdr:rowOff>76200</xdr:rowOff>
                  </to>
                </anchor>
              </controlPr>
            </control>
          </mc:Choice>
        </mc:AlternateContent>
        <mc:AlternateContent xmlns:mc="http://schemas.openxmlformats.org/markup-compatibility/2006">
          <mc:Choice Requires="x14">
            <control shapeId="1331" r:id="rId77" name="Option Button 307">
              <controlPr defaultSize="0" autoFill="0" autoLine="0" autoPict="0">
                <anchor moveWithCells="1">
                  <from>
                    <xdr:col>4</xdr:col>
                    <xdr:colOff>85725</xdr:colOff>
                    <xdr:row>164</xdr:row>
                    <xdr:rowOff>180975</xdr:rowOff>
                  </from>
                  <to>
                    <xdr:col>4</xdr:col>
                    <xdr:colOff>2476500</xdr:colOff>
                    <xdr:row>166</xdr:row>
                    <xdr:rowOff>9525</xdr:rowOff>
                  </to>
                </anchor>
              </controlPr>
            </control>
          </mc:Choice>
        </mc:AlternateContent>
        <mc:AlternateContent xmlns:mc="http://schemas.openxmlformats.org/markup-compatibility/2006">
          <mc:Choice Requires="x14">
            <control shapeId="1332" r:id="rId78" name="Option Button 308">
              <controlPr defaultSize="0" autoFill="0" autoLine="0" autoPict="0">
                <anchor moveWithCells="1">
                  <from>
                    <xdr:col>4</xdr:col>
                    <xdr:colOff>85725</xdr:colOff>
                    <xdr:row>165</xdr:row>
                    <xdr:rowOff>180975</xdr:rowOff>
                  </from>
                  <to>
                    <xdr:col>4</xdr:col>
                    <xdr:colOff>2514600</xdr:colOff>
                    <xdr:row>167</xdr:row>
                    <xdr:rowOff>38100</xdr:rowOff>
                  </to>
                </anchor>
              </controlPr>
            </control>
          </mc:Choice>
        </mc:AlternateContent>
        <mc:AlternateContent xmlns:mc="http://schemas.openxmlformats.org/markup-compatibility/2006">
          <mc:Choice Requires="x14">
            <control shapeId="1333" r:id="rId79" name="Option Button 309">
              <controlPr defaultSize="0" autoFill="0" autoLine="0" autoPict="0">
                <anchor moveWithCells="1">
                  <from>
                    <xdr:col>4</xdr:col>
                    <xdr:colOff>85725</xdr:colOff>
                    <xdr:row>166</xdr:row>
                    <xdr:rowOff>180975</xdr:rowOff>
                  </from>
                  <to>
                    <xdr:col>4</xdr:col>
                    <xdr:colOff>2495550</xdr:colOff>
                    <xdr:row>168</xdr:row>
                    <xdr:rowOff>9525</xdr:rowOff>
                  </to>
                </anchor>
              </controlPr>
            </control>
          </mc:Choice>
        </mc:AlternateContent>
        <mc:AlternateContent xmlns:mc="http://schemas.openxmlformats.org/markup-compatibility/2006">
          <mc:Choice Requires="x14">
            <control shapeId="1334" r:id="rId80" name="Group Box 310">
              <controlPr defaultSize="0" autoFill="0" autoPict="0">
                <anchor moveWithCells="1">
                  <from>
                    <xdr:col>4</xdr:col>
                    <xdr:colOff>0</xdr:colOff>
                    <xdr:row>164</xdr:row>
                    <xdr:rowOff>0</xdr:rowOff>
                  </from>
                  <to>
                    <xdr:col>4</xdr:col>
                    <xdr:colOff>2695575</xdr:colOff>
                    <xdr:row>168</xdr:row>
                    <xdr:rowOff>85725</xdr:rowOff>
                  </to>
                </anchor>
              </controlPr>
            </control>
          </mc:Choice>
        </mc:AlternateContent>
        <mc:AlternateContent xmlns:mc="http://schemas.openxmlformats.org/markup-compatibility/2006">
          <mc:Choice Requires="x14">
            <control shapeId="1335" r:id="rId81" name="Option Button 311">
              <controlPr defaultSize="0" autoFill="0" autoLine="0" autoPict="0">
                <anchor moveWithCells="1">
                  <from>
                    <xdr:col>4</xdr:col>
                    <xdr:colOff>95250</xdr:colOff>
                    <xdr:row>152</xdr:row>
                    <xdr:rowOff>0</xdr:rowOff>
                  </from>
                  <to>
                    <xdr:col>4</xdr:col>
                    <xdr:colOff>2524125</xdr:colOff>
                    <xdr:row>153</xdr:row>
                    <xdr:rowOff>19050</xdr:rowOff>
                  </to>
                </anchor>
              </controlPr>
            </control>
          </mc:Choice>
        </mc:AlternateContent>
        <mc:AlternateContent xmlns:mc="http://schemas.openxmlformats.org/markup-compatibility/2006">
          <mc:Choice Requires="x14">
            <control shapeId="1336" r:id="rId82" name="Option Button 312">
              <controlPr defaultSize="0" autoFill="0" autoLine="0" autoPict="0">
                <anchor moveWithCells="1">
                  <from>
                    <xdr:col>4</xdr:col>
                    <xdr:colOff>95250</xdr:colOff>
                    <xdr:row>153</xdr:row>
                    <xdr:rowOff>0</xdr:rowOff>
                  </from>
                  <to>
                    <xdr:col>4</xdr:col>
                    <xdr:colOff>2600325</xdr:colOff>
                    <xdr:row>154</xdr:row>
                    <xdr:rowOff>19050</xdr:rowOff>
                  </to>
                </anchor>
              </controlPr>
            </control>
          </mc:Choice>
        </mc:AlternateContent>
        <mc:AlternateContent xmlns:mc="http://schemas.openxmlformats.org/markup-compatibility/2006">
          <mc:Choice Requires="x14">
            <control shapeId="1337" r:id="rId83" name="Option Button 313">
              <controlPr defaultSize="0" autoFill="0" autoLine="0" autoPict="0">
                <anchor moveWithCells="1">
                  <from>
                    <xdr:col>4</xdr:col>
                    <xdr:colOff>95250</xdr:colOff>
                    <xdr:row>154</xdr:row>
                    <xdr:rowOff>0</xdr:rowOff>
                  </from>
                  <to>
                    <xdr:col>4</xdr:col>
                    <xdr:colOff>2562225</xdr:colOff>
                    <xdr:row>155</xdr:row>
                    <xdr:rowOff>19050</xdr:rowOff>
                  </to>
                </anchor>
              </controlPr>
            </control>
          </mc:Choice>
        </mc:AlternateContent>
        <mc:AlternateContent xmlns:mc="http://schemas.openxmlformats.org/markup-compatibility/2006">
          <mc:Choice Requires="x14">
            <control shapeId="1339" r:id="rId84" name="Group Box 315">
              <controlPr defaultSize="0" autoFill="0" autoPict="0">
                <anchor moveWithCells="1">
                  <from>
                    <xdr:col>4</xdr:col>
                    <xdr:colOff>0</xdr:colOff>
                    <xdr:row>151</xdr:row>
                    <xdr:rowOff>0</xdr:rowOff>
                  </from>
                  <to>
                    <xdr:col>4</xdr:col>
                    <xdr:colOff>2695575</xdr:colOff>
                    <xdr:row>155</xdr:row>
                    <xdr:rowOff>104775</xdr:rowOff>
                  </to>
                </anchor>
              </controlPr>
            </control>
          </mc:Choice>
        </mc:AlternateContent>
        <mc:AlternateContent xmlns:mc="http://schemas.openxmlformats.org/markup-compatibility/2006">
          <mc:Choice Requires="x14">
            <control shapeId="1340" r:id="rId85" name="Option Button 316">
              <controlPr defaultSize="0" autoFill="0" autoLine="0" autoPict="0">
                <anchor moveWithCells="1">
                  <from>
                    <xdr:col>2</xdr:col>
                    <xdr:colOff>85725</xdr:colOff>
                    <xdr:row>171</xdr:row>
                    <xdr:rowOff>142875</xdr:rowOff>
                  </from>
                  <to>
                    <xdr:col>2</xdr:col>
                    <xdr:colOff>2219325</xdr:colOff>
                    <xdr:row>171</xdr:row>
                    <xdr:rowOff>390525</xdr:rowOff>
                  </to>
                </anchor>
              </controlPr>
            </control>
          </mc:Choice>
        </mc:AlternateContent>
        <mc:AlternateContent xmlns:mc="http://schemas.openxmlformats.org/markup-compatibility/2006">
          <mc:Choice Requires="x14">
            <control shapeId="1342" r:id="rId86" name="Option Button 318">
              <controlPr defaultSize="0" autoFill="0" autoLine="0" autoPict="0">
                <anchor moveWithCells="1">
                  <from>
                    <xdr:col>2</xdr:col>
                    <xdr:colOff>85725</xdr:colOff>
                    <xdr:row>171</xdr:row>
                    <xdr:rowOff>352425</xdr:rowOff>
                  </from>
                  <to>
                    <xdr:col>2</xdr:col>
                    <xdr:colOff>2124075</xdr:colOff>
                    <xdr:row>171</xdr:row>
                    <xdr:rowOff>571500</xdr:rowOff>
                  </to>
                </anchor>
              </controlPr>
            </control>
          </mc:Choice>
        </mc:AlternateContent>
        <mc:AlternateContent xmlns:mc="http://schemas.openxmlformats.org/markup-compatibility/2006">
          <mc:Choice Requires="x14">
            <control shapeId="1343" r:id="rId87" name="Group Box 319">
              <controlPr defaultSize="0" autoFill="0" autoPict="0">
                <anchor moveWithCells="1">
                  <from>
                    <xdr:col>2</xdr:col>
                    <xdr:colOff>9525</xdr:colOff>
                    <xdr:row>171</xdr:row>
                    <xdr:rowOff>9525</xdr:rowOff>
                  </from>
                  <to>
                    <xdr:col>2</xdr:col>
                    <xdr:colOff>2705100</xdr:colOff>
                    <xdr:row>171</xdr:row>
                    <xdr:rowOff>647700</xdr:rowOff>
                  </to>
                </anchor>
              </controlPr>
            </control>
          </mc:Choice>
        </mc:AlternateContent>
        <mc:AlternateContent xmlns:mc="http://schemas.openxmlformats.org/markup-compatibility/2006">
          <mc:Choice Requires="x14">
            <control shapeId="1344" r:id="rId88" name="Option Button 320">
              <controlPr defaultSize="0" autoFill="0" autoLine="0" autoPict="0">
                <anchor moveWithCells="1">
                  <from>
                    <xdr:col>2</xdr:col>
                    <xdr:colOff>95250</xdr:colOff>
                    <xdr:row>173</xdr:row>
                    <xdr:rowOff>180975</xdr:rowOff>
                  </from>
                  <to>
                    <xdr:col>2</xdr:col>
                    <xdr:colOff>2038350</xdr:colOff>
                    <xdr:row>174</xdr:row>
                    <xdr:rowOff>9525</xdr:rowOff>
                  </to>
                </anchor>
              </controlPr>
            </control>
          </mc:Choice>
        </mc:AlternateContent>
        <mc:AlternateContent xmlns:mc="http://schemas.openxmlformats.org/markup-compatibility/2006">
          <mc:Choice Requires="x14">
            <control shapeId="1345" r:id="rId89" name="Option Button 321">
              <controlPr defaultSize="0" autoFill="0" autoLine="0" autoPict="0">
                <anchor moveWithCells="1">
                  <from>
                    <xdr:col>2</xdr:col>
                    <xdr:colOff>95250</xdr:colOff>
                    <xdr:row>174</xdr:row>
                    <xdr:rowOff>0</xdr:rowOff>
                  </from>
                  <to>
                    <xdr:col>2</xdr:col>
                    <xdr:colOff>2171700</xdr:colOff>
                    <xdr:row>175</xdr:row>
                    <xdr:rowOff>19050</xdr:rowOff>
                  </to>
                </anchor>
              </controlPr>
            </control>
          </mc:Choice>
        </mc:AlternateContent>
        <mc:AlternateContent xmlns:mc="http://schemas.openxmlformats.org/markup-compatibility/2006">
          <mc:Choice Requires="x14">
            <control shapeId="1346" r:id="rId90" name="Group Box 322">
              <controlPr defaultSize="0" autoFill="0" autoPict="0">
                <anchor moveWithCells="1">
                  <from>
                    <xdr:col>2</xdr:col>
                    <xdr:colOff>9525</xdr:colOff>
                    <xdr:row>173</xdr:row>
                    <xdr:rowOff>0</xdr:rowOff>
                  </from>
                  <to>
                    <xdr:col>2</xdr:col>
                    <xdr:colOff>2705100</xdr:colOff>
                    <xdr:row>175</xdr:row>
                    <xdr:rowOff>85725</xdr:rowOff>
                  </to>
                </anchor>
              </controlPr>
            </control>
          </mc:Choice>
        </mc:AlternateContent>
        <mc:AlternateContent xmlns:mc="http://schemas.openxmlformats.org/markup-compatibility/2006">
          <mc:Choice Requires="x14">
            <control shapeId="1347" r:id="rId91" name="Option Button 323">
              <controlPr defaultSize="0" autoFill="0" autoLine="0" autoPict="0">
                <anchor moveWithCells="1">
                  <from>
                    <xdr:col>2</xdr:col>
                    <xdr:colOff>104775</xdr:colOff>
                    <xdr:row>177</xdr:row>
                    <xdr:rowOff>171450</xdr:rowOff>
                  </from>
                  <to>
                    <xdr:col>2</xdr:col>
                    <xdr:colOff>2133600</xdr:colOff>
                    <xdr:row>178</xdr:row>
                    <xdr:rowOff>9525</xdr:rowOff>
                  </to>
                </anchor>
              </controlPr>
            </control>
          </mc:Choice>
        </mc:AlternateContent>
        <mc:AlternateContent xmlns:mc="http://schemas.openxmlformats.org/markup-compatibility/2006">
          <mc:Choice Requires="x14">
            <control shapeId="1348" r:id="rId92" name="Option Button 324">
              <controlPr defaultSize="0" autoFill="0" autoLine="0" autoPict="0">
                <anchor moveWithCells="1">
                  <from>
                    <xdr:col>2</xdr:col>
                    <xdr:colOff>104775</xdr:colOff>
                    <xdr:row>178</xdr:row>
                    <xdr:rowOff>0</xdr:rowOff>
                  </from>
                  <to>
                    <xdr:col>2</xdr:col>
                    <xdr:colOff>2171700</xdr:colOff>
                    <xdr:row>179</xdr:row>
                    <xdr:rowOff>47625</xdr:rowOff>
                  </to>
                </anchor>
              </controlPr>
            </control>
          </mc:Choice>
        </mc:AlternateContent>
        <mc:AlternateContent xmlns:mc="http://schemas.openxmlformats.org/markup-compatibility/2006">
          <mc:Choice Requires="x14">
            <control shapeId="1349" r:id="rId93" name="Group Box 325">
              <controlPr defaultSize="0" autoFill="0" autoPict="0">
                <anchor moveWithCells="1">
                  <from>
                    <xdr:col>2</xdr:col>
                    <xdr:colOff>9525</xdr:colOff>
                    <xdr:row>177</xdr:row>
                    <xdr:rowOff>9525</xdr:rowOff>
                  </from>
                  <to>
                    <xdr:col>2</xdr:col>
                    <xdr:colOff>2705100</xdr:colOff>
                    <xdr:row>179</xdr:row>
                    <xdr:rowOff>85725</xdr:rowOff>
                  </to>
                </anchor>
              </controlPr>
            </control>
          </mc:Choice>
        </mc:AlternateContent>
        <mc:AlternateContent xmlns:mc="http://schemas.openxmlformats.org/markup-compatibility/2006">
          <mc:Choice Requires="x14">
            <control shapeId="1350" r:id="rId94" name="Option Button 326">
              <controlPr defaultSize="0" autoFill="0" autoLine="0" autoPict="0">
                <anchor moveWithCells="1">
                  <from>
                    <xdr:col>2</xdr:col>
                    <xdr:colOff>114300</xdr:colOff>
                    <xdr:row>181</xdr:row>
                    <xdr:rowOff>180975</xdr:rowOff>
                  </from>
                  <to>
                    <xdr:col>2</xdr:col>
                    <xdr:colOff>1943100</xdr:colOff>
                    <xdr:row>182</xdr:row>
                    <xdr:rowOff>9525</xdr:rowOff>
                  </to>
                </anchor>
              </controlPr>
            </control>
          </mc:Choice>
        </mc:AlternateContent>
        <mc:AlternateContent xmlns:mc="http://schemas.openxmlformats.org/markup-compatibility/2006">
          <mc:Choice Requires="x14">
            <control shapeId="1351" r:id="rId95" name="Option Button 327">
              <controlPr defaultSize="0" autoFill="0" autoLine="0" autoPict="0">
                <anchor moveWithCells="1">
                  <from>
                    <xdr:col>2</xdr:col>
                    <xdr:colOff>114300</xdr:colOff>
                    <xdr:row>182</xdr:row>
                    <xdr:rowOff>0</xdr:rowOff>
                  </from>
                  <to>
                    <xdr:col>2</xdr:col>
                    <xdr:colOff>2143125</xdr:colOff>
                    <xdr:row>183</xdr:row>
                    <xdr:rowOff>19050</xdr:rowOff>
                  </to>
                </anchor>
              </controlPr>
            </control>
          </mc:Choice>
        </mc:AlternateContent>
        <mc:AlternateContent xmlns:mc="http://schemas.openxmlformats.org/markup-compatibility/2006">
          <mc:Choice Requires="x14">
            <control shapeId="1353" r:id="rId96" name="Group Box 329">
              <controlPr defaultSize="0" autoFill="0" autoPict="0">
                <anchor moveWithCells="1">
                  <from>
                    <xdr:col>2</xdr:col>
                    <xdr:colOff>0</xdr:colOff>
                    <xdr:row>181</xdr:row>
                    <xdr:rowOff>0</xdr:rowOff>
                  </from>
                  <to>
                    <xdr:col>2</xdr:col>
                    <xdr:colOff>2695575</xdr:colOff>
                    <xdr:row>183</xdr:row>
                    <xdr:rowOff>57150</xdr:rowOff>
                  </to>
                </anchor>
              </controlPr>
            </control>
          </mc:Choice>
        </mc:AlternateContent>
        <mc:AlternateContent xmlns:mc="http://schemas.openxmlformats.org/markup-compatibility/2006">
          <mc:Choice Requires="x14">
            <control shapeId="1356" r:id="rId97" name="Option Button 332">
              <controlPr defaultSize="0" autoFill="0" autoLine="0" autoPict="0">
                <anchor moveWithCells="1">
                  <from>
                    <xdr:col>2</xdr:col>
                    <xdr:colOff>85725</xdr:colOff>
                    <xdr:row>81</xdr:row>
                    <xdr:rowOff>390525</xdr:rowOff>
                  </from>
                  <to>
                    <xdr:col>2</xdr:col>
                    <xdr:colOff>2457450</xdr:colOff>
                    <xdr:row>81</xdr:row>
                    <xdr:rowOff>609600</xdr:rowOff>
                  </to>
                </anchor>
              </controlPr>
            </control>
          </mc:Choice>
        </mc:AlternateContent>
        <mc:AlternateContent xmlns:mc="http://schemas.openxmlformats.org/markup-compatibility/2006">
          <mc:Choice Requires="x14">
            <control shapeId="1357" r:id="rId98" name="Option Button 333">
              <controlPr defaultSize="0" autoFill="0" autoLine="0" autoPict="0">
                <anchor moveWithCells="1">
                  <from>
                    <xdr:col>2</xdr:col>
                    <xdr:colOff>85725</xdr:colOff>
                    <xdr:row>81</xdr:row>
                    <xdr:rowOff>590550</xdr:rowOff>
                  </from>
                  <to>
                    <xdr:col>2</xdr:col>
                    <xdr:colOff>2162175</xdr:colOff>
                    <xdr:row>81</xdr:row>
                    <xdr:rowOff>809625</xdr:rowOff>
                  </to>
                </anchor>
              </controlPr>
            </control>
          </mc:Choice>
        </mc:AlternateContent>
        <mc:AlternateContent xmlns:mc="http://schemas.openxmlformats.org/markup-compatibility/2006">
          <mc:Choice Requires="x14">
            <control shapeId="1359" r:id="rId99" name="Group Box 335">
              <controlPr defaultSize="0" autoFill="0" autoPict="0">
                <anchor moveWithCells="1">
                  <from>
                    <xdr:col>2</xdr:col>
                    <xdr:colOff>0</xdr:colOff>
                    <xdr:row>81</xdr:row>
                    <xdr:rowOff>228600</xdr:rowOff>
                  </from>
                  <to>
                    <xdr:col>2</xdr:col>
                    <xdr:colOff>2695575</xdr:colOff>
                    <xdr:row>82</xdr:row>
                    <xdr:rowOff>9525</xdr:rowOff>
                  </to>
                </anchor>
              </controlPr>
            </control>
          </mc:Choice>
        </mc:AlternateContent>
        <mc:AlternateContent xmlns:mc="http://schemas.openxmlformats.org/markup-compatibility/2006">
          <mc:Choice Requires="x14">
            <control shapeId="1360" r:id="rId100" name="Option Button 336">
              <controlPr defaultSize="0" autoFill="0" autoLine="0" autoPict="0">
                <anchor moveWithCells="1">
                  <from>
                    <xdr:col>2</xdr:col>
                    <xdr:colOff>95250</xdr:colOff>
                    <xdr:row>84</xdr:row>
                    <xdr:rowOff>180975</xdr:rowOff>
                  </from>
                  <to>
                    <xdr:col>2</xdr:col>
                    <xdr:colOff>2171700</xdr:colOff>
                    <xdr:row>86</xdr:row>
                    <xdr:rowOff>19050</xdr:rowOff>
                  </to>
                </anchor>
              </controlPr>
            </control>
          </mc:Choice>
        </mc:AlternateContent>
        <mc:AlternateContent xmlns:mc="http://schemas.openxmlformats.org/markup-compatibility/2006">
          <mc:Choice Requires="x14">
            <control shapeId="1361" r:id="rId101" name="Option Button 337">
              <controlPr defaultSize="0" autoFill="0" autoLine="0" autoPict="0">
                <anchor moveWithCells="1">
                  <from>
                    <xdr:col>2</xdr:col>
                    <xdr:colOff>95250</xdr:colOff>
                    <xdr:row>85</xdr:row>
                    <xdr:rowOff>180975</xdr:rowOff>
                  </from>
                  <to>
                    <xdr:col>2</xdr:col>
                    <xdr:colOff>2247900</xdr:colOff>
                    <xdr:row>87</xdr:row>
                    <xdr:rowOff>19050</xdr:rowOff>
                  </to>
                </anchor>
              </controlPr>
            </control>
          </mc:Choice>
        </mc:AlternateContent>
        <mc:AlternateContent xmlns:mc="http://schemas.openxmlformats.org/markup-compatibility/2006">
          <mc:Choice Requires="x14">
            <control shapeId="1363" r:id="rId102" name="Group Box 339">
              <controlPr defaultSize="0" autoFill="0" autoPict="0">
                <anchor moveWithCells="1">
                  <from>
                    <xdr:col>2</xdr:col>
                    <xdr:colOff>0</xdr:colOff>
                    <xdr:row>84</xdr:row>
                    <xdr:rowOff>0</xdr:rowOff>
                  </from>
                  <to>
                    <xdr:col>2</xdr:col>
                    <xdr:colOff>2695575</xdr:colOff>
                    <xdr:row>87</xdr:row>
                    <xdr:rowOff>57150</xdr:rowOff>
                  </to>
                </anchor>
              </controlPr>
            </control>
          </mc:Choice>
        </mc:AlternateContent>
        <mc:AlternateContent xmlns:mc="http://schemas.openxmlformats.org/markup-compatibility/2006">
          <mc:Choice Requires="x14">
            <control shapeId="1364" r:id="rId103" name="Option Button 340">
              <controlPr defaultSize="0" autoFill="0" autoLine="0" autoPict="0">
                <anchor moveWithCells="1">
                  <from>
                    <xdr:col>2</xdr:col>
                    <xdr:colOff>114300</xdr:colOff>
                    <xdr:row>89</xdr:row>
                    <xdr:rowOff>180975</xdr:rowOff>
                  </from>
                  <to>
                    <xdr:col>2</xdr:col>
                    <xdr:colOff>2286000</xdr:colOff>
                    <xdr:row>91</xdr:row>
                    <xdr:rowOff>19050</xdr:rowOff>
                  </to>
                </anchor>
              </controlPr>
            </control>
          </mc:Choice>
        </mc:AlternateContent>
        <mc:AlternateContent xmlns:mc="http://schemas.openxmlformats.org/markup-compatibility/2006">
          <mc:Choice Requires="x14">
            <control shapeId="1365" r:id="rId104" name="Option Button 341">
              <controlPr defaultSize="0" autoFill="0" autoLine="0" autoPict="0">
                <anchor moveWithCells="1">
                  <from>
                    <xdr:col>2</xdr:col>
                    <xdr:colOff>114300</xdr:colOff>
                    <xdr:row>90</xdr:row>
                    <xdr:rowOff>180975</xdr:rowOff>
                  </from>
                  <to>
                    <xdr:col>2</xdr:col>
                    <xdr:colOff>2266950</xdr:colOff>
                    <xdr:row>92</xdr:row>
                    <xdr:rowOff>19050</xdr:rowOff>
                  </to>
                </anchor>
              </controlPr>
            </control>
          </mc:Choice>
        </mc:AlternateContent>
        <mc:AlternateContent xmlns:mc="http://schemas.openxmlformats.org/markup-compatibility/2006">
          <mc:Choice Requires="x14">
            <control shapeId="1366" r:id="rId105" name="Group Box 342">
              <controlPr defaultSize="0" autoFill="0" autoPict="0">
                <anchor moveWithCells="1">
                  <from>
                    <xdr:col>2</xdr:col>
                    <xdr:colOff>0</xdr:colOff>
                    <xdr:row>89</xdr:row>
                    <xdr:rowOff>0</xdr:rowOff>
                  </from>
                  <to>
                    <xdr:col>2</xdr:col>
                    <xdr:colOff>2695575</xdr:colOff>
                    <xdr:row>92</xdr:row>
                    <xdr:rowOff>66675</xdr:rowOff>
                  </to>
                </anchor>
              </controlPr>
            </control>
          </mc:Choice>
        </mc:AlternateContent>
        <mc:AlternateContent xmlns:mc="http://schemas.openxmlformats.org/markup-compatibility/2006">
          <mc:Choice Requires="x14">
            <control shapeId="1367" r:id="rId106" name="Option Button 343">
              <controlPr defaultSize="0" autoFill="0" autoLine="0" autoPict="0">
                <anchor moveWithCells="1">
                  <from>
                    <xdr:col>2</xdr:col>
                    <xdr:colOff>123825</xdr:colOff>
                    <xdr:row>94</xdr:row>
                    <xdr:rowOff>180975</xdr:rowOff>
                  </from>
                  <to>
                    <xdr:col>2</xdr:col>
                    <xdr:colOff>2228850</xdr:colOff>
                    <xdr:row>96</xdr:row>
                    <xdr:rowOff>19050</xdr:rowOff>
                  </to>
                </anchor>
              </controlPr>
            </control>
          </mc:Choice>
        </mc:AlternateContent>
        <mc:AlternateContent xmlns:mc="http://schemas.openxmlformats.org/markup-compatibility/2006">
          <mc:Choice Requires="x14">
            <control shapeId="1368" r:id="rId107" name="Option Button 344">
              <controlPr defaultSize="0" autoFill="0" autoLine="0" autoPict="0">
                <anchor moveWithCells="1">
                  <from>
                    <xdr:col>2</xdr:col>
                    <xdr:colOff>123825</xdr:colOff>
                    <xdr:row>95</xdr:row>
                    <xdr:rowOff>180975</xdr:rowOff>
                  </from>
                  <to>
                    <xdr:col>2</xdr:col>
                    <xdr:colOff>2124075</xdr:colOff>
                    <xdr:row>97</xdr:row>
                    <xdr:rowOff>19050</xdr:rowOff>
                  </to>
                </anchor>
              </controlPr>
            </control>
          </mc:Choice>
        </mc:AlternateContent>
        <mc:AlternateContent xmlns:mc="http://schemas.openxmlformats.org/markup-compatibility/2006">
          <mc:Choice Requires="x14">
            <control shapeId="1369" r:id="rId108" name="Group Box 345">
              <controlPr defaultSize="0" autoFill="0" autoPict="0">
                <anchor moveWithCells="1">
                  <from>
                    <xdr:col>2</xdr:col>
                    <xdr:colOff>0</xdr:colOff>
                    <xdr:row>94</xdr:row>
                    <xdr:rowOff>0</xdr:rowOff>
                  </from>
                  <to>
                    <xdr:col>2</xdr:col>
                    <xdr:colOff>2695575</xdr:colOff>
                    <xdr:row>97</xdr:row>
                    <xdr:rowOff>85725</xdr:rowOff>
                  </to>
                </anchor>
              </controlPr>
            </control>
          </mc:Choice>
        </mc:AlternateContent>
        <mc:AlternateContent xmlns:mc="http://schemas.openxmlformats.org/markup-compatibility/2006">
          <mc:Choice Requires="x14">
            <control shapeId="1370" r:id="rId109" name="Option Button 346">
              <controlPr defaultSize="0" autoFill="0" autoLine="0" autoPict="0">
                <anchor moveWithCells="1">
                  <from>
                    <xdr:col>2</xdr:col>
                    <xdr:colOff>114300</xdr:colOff>
                    <xdr:row>99</xdr:row>
                    <xdr:rowOff>171450</xdr:rowOff>
                  </from>
                  <to>
                    <xdr:col>2</xdr:col>
                    <xdr:colOff>2305050</xdr:colOff>
                    <xdr:row>101</xdr:row>
                    <xdr:rowOff>9525</xdr:rowOff>
                  </to>
                </anchor>
              </controlPr>
            </control>
          </mc:Choice>
        </mc:AlternateContent>
        <mc:AlternateContent xmlns:mc="http://schemas.openxmlformats.org/markup-compatibility/2006">
          <mc:Choice Requires="x14">
            <control shapeId="1371" r:id="rId110" name="Option Button 347">
              <controlPr defaultSize="0" autoFill="0" autoLine="0" autoPict="0">
                <anchor moveWithCells="1">
                  <from>
                    <xdr:col>2</xdr:col>
                    <xdr:colOff>114300</xdr:colOff>
                    <xdr:row>100</xdr:row>
                    <xdr:rowOff>171450</xdr:rowOff>
                  </from>
                  <to>
                    <xdr:col>2</xdr:col>
                    <xdr:colOff>2238375</xdr:colOff>
                    <xdr:row>102</xdr:row>
                    <xdr:rowOff>9525</xdr:rowOff>
                  </to>
                </anchor>
              </controlPr>
            </control>
          </mc:Choice>
        </mc:AlternateContent>
        <mc:AlternateContent xmlns:mc="http://schemas.openxmlformats.org/markup-compatibility/2006">
          <mc:Choice Requires="x14">
            <control shapeId="1372" r:id="rId111" name="Group Box 348">
              <controlPr defaultSize="0" autoFill="0" autoPict="0">
                <anchor moveWithCells="1">
                  <from>
                    <xdr:col>2</xdr:col>
                    <xdr:colOff>0</xdr:colOff>
                    <xdr:row>99</xdr:row>
                    <xdr:rowOff>0</xdr:rowOff>
                  </from>
                  <to>
                    <xdr:col>2</xdr:col>
                    <xdr:colOff>2695575</xdr:colOff>
                    <xdr:row>102</xdr:row>
                    <xdr:rowOff>76200</xdr:rowOff>
                  </to>
                </anchor>
              </controlPr>
            </control>
          </mc:Choice>
        </mc:AlternateContent>
        <mc:AlternateContent xmlns:mc="http://schemas.openxmlformats.org/markup-compatibility/2006">
          <mc:Choice Requires="x14">
            <control shapeId="1373" r:id="rId112" name="Option Button 349">
              <controlPr defaultSize="0" autoFill="0" autoLine="0" autoPict="0">
                <anchor moveWithCells="1">
                  <from>
                    <xdr:col>2</xdr:col>
                    <xdr:colOff>123825</xdr:colOff>
                    <xdr:row>104</xdr:row>
                    <xdr:rowOff>180975</xdr:rowOff>
                  </from>
                  <to>
                    <xdr:col>2</xdr:col>
                    <xdr:colOff>2200275</xdr:colOff>
                    <xdr:row>106</xdr:row>
                    <xdr:rowOff>19050</xdr:rowOff>
                  </to>
                </anchor>
              </controlPr>
            </control>
          </mc:Choice>
        </mc:AlternateContent>
        <mc:AlternateContent xmlns:mc="http://schemas.openxmlformats.org/markup-compatibility/2006">
          <mc:Choice Requires="x14">
            <control shapeId="1374" r:id="rId113" name="Option Button 350">
              <controlPr defaultSize="0" autoFill="0" autoLine="0" autoPict="0">
                <anchor moveWithCells="1">
                  <from>
                    <xdr:col>2</xdr:col>
                    <xdr:colOff>123825</xdr:colOff>
                    <xdr:row>105</xdr:row>
                    <xdr:rowOff>180975</xdr:rowOff>
                  </from>
                  <to>
                    <xdr:col>2</xdr:col>
                    <xdr:colOff>2352675</xdr:colOff>
                    <xdr:row>107</xdr:row>
                    <xdr:rowOff>19050</xdr:rowOff>
                  </to>
                </anchor>
              </controlPr>
            </control>
          </mc:Choice>
        </mc:AlternateContent>
        <mc:AlternateContent xmlns:mc="http://schemas.openxmlformats.org/markup-compatibility/2006">
          <mc:Choice Requires="x14">
            <control shapeId="1375" r:id="rId114" name="Group Box 351">
              <controlPr defaultSize="0" autoFill="0" autoPict="0">
                <anchor moveWithCells="1">
                  <from>
                    <xdr:col>2</xdr:col>
                    <xdr:colOff>0</xdr:colOff>
                    <xdr:row>104</xdr:row>
                    <xdr:rowOff>0</xdr:rowOff>
                  </from>
                  <to>
                    <xdr:col>2</xdr:col>
                    <xdr:colOff>2695575</xdr:colOff>
                    <xdr:row>107</xdr:row>
                    <xdr:rowOff>95250</xdr:rowOff>
                  </to>
                </anchor>
              </controlPr>
            </control>
          </mc:Choice>
        </mc:AlternateContent>
        <mc:AlternateContent xmlns:mc="http://schemas.openxmlformats.org/markup-compatibility/2006">
          <mc:Choice Requires="x14">
            <control shapeId="1376" r:id="rId115" name="Option Button 352">
              <controlPr defaultSize="0" autoFill="0" autoLine="0" autoPict="0">
                <anchor moveWithCells="1">
                  <from>
                    <xdr:col>2</xdr:col>
                    <xdr:colOff>114300</xdr:colOff>
                    <xdr:row>109</xdr:row>
                    <xdr:rowOff>171450</xdr:rowOff>
                  </from>
                  <to>
                    <xdr:col>2</xdr:col>
                    <xdr:colOff>2047875</xdr:colOff>
                    <xdr:row>111</xdr:row>
                    <xdr:rowOff>9525</xdr:rowOff>
                  </to>
                </anchor>
              </controlPr>
            </control>
          </mc:Choice>
        </mc:AlternateContent>
        <mc:AlternateContent xmlns:mc="http://schemas.openxmlformats.org/markup-compatibility/2006">
          <mc:Choice Requires="x14">
            <control shapeId="1377" r:id="rId116" name="Option Button 353">
              <controlPr defaultSize="0" autoFill="0" autoLine="0" autoPict="0">
                <anchor moveWithCells="1">
                  <from>
                    <xdr:col>2</xdr:col>
                    <xdr:colOff>114300</xdr:colOff>
                    <xdr:row>110</xdr:row>
                    <xdr:rowOff>171450</xdr:rowOff>
                  </from>
                  <to>
                    <xdr:col>2</xdr:col>
                    <xdr:colOff>2038350</xdr:colOff>
                    <xdr:row>112</xdr:row>
                    <xdr:rowOff>9525</xdr:rowOff>
                  </to>
                </anchor>
              </controlPr>
            </control>
          </mc:Choice>
        </mc:AlternateContent>
        <mc:AlternateContent xmlns:mc="http://schemas.openxmlformats.org/markup-compatibility/2006">
          <mc:Choice Requires="x14">
            <control shapeId="1378" r:id="rId117" name="Group Box 354">
              <controlPr defaultSize="0" autoFill="0" autoPict="0">
                <anchor moveWithCells="1">
                  <from>
                    <xdr:col>2</xdr:col>
                    <xdr:colOff>0</xdr:colOff>
                    <xdr:row>109</xdr:row>
                    <xdr:rowOff>0</xdr:rowOff>
                  </from>
                  <to>
                    <xdr:col>2</xdr:col>
                    <xdr:colOff>2695575</xdr:colOff>
                    <xdr:row>112</xdr:row>
                    <xdr:rowOff>66675</xdr:rowOff>
                  </to>
                </anchor>
              </controlPr>
            </control>
          </mc:Choice>
        </mc:AlternateContent>
        <mc:AlternateContent xmlns:mc="http://schemas.openxmlformats.org/markup-compatibility/2006">
          <mc:Choice Requires="x14">
            <control shapeId="1385" r:id="rId118" name="Group Box 361">
              <controlPr defaultSize="0" autoFill="0" autoPict="0">
                <anchor moveWithCells="1">
                  <from>
                    <xdr:col>4</xdr:col>
                    <xdr:colOff>9525</xdr:colOff>
                    <xdr:row>84</xdr:row>
                    <xdr:rowOff>0</xdr:rowOff>
                  </from>
                  <to>
                    <xdr:col>4</xdr:col>
                    <xdr:colOff>2705100</xdr:colOff>
                    <xdr:row>87</xdr:row>
                    <xdr:rowOff>57150</xdr:rowOff>
                  </to>
                </anchor>
              </controlPr>
            </control>
          </mc:Choice>
        </mc:AlternateContent>
        <mc:AlternateContent xmlns:mc="http://schemas.openxmlformats.org/markup-compatibility/2006">
          <mc:Choice Requires="x14">
            <control shapeId="1391" r:id="rId119" name="Group Box 367">
              <controlPr defaultSize="0" autoFill="0" autoPict="0">
                <anchor moveWithCells="1">
                  <from>
                    <xdr:col>4</xdr:col>
                    <xdr:colOff>0</xdr:colOff>
                    <xdr:row>89</xdr:row>
                    <xdr:rowOff>0</xdr:rowOff>
                  </from>
                  <to>
                    <xdr:col>4</xdr:col>
                    <xdr:colOff>2695575</xdr:colOff>
                    <xdr:row>92</xdr:row>
                    <xdr:rowOff>57150</xdr:rowOff>
                  </to>
                </anchor>
              </controlPr>
            </control>
          </mc:Choice>
        </mc:AlternateContent>
        <mc:AlternateContent xmlns:mc="http://schemas.openxmlformats.org/markup-compatibility/2006">
          <mc:Choice Requires="x14">
            <control shapeId="1396" r:id="rId120" name="Group Box 372">
              <controlPr defaultSize="0" autoFill="0" autoPict="0">
                <anchor moveWithCells="1">
                  <from>
                    <xdr:col>4</xdr:col>
                    <xdr:colOff>0</xdr:colOff>
                    <xdr:row>94</xdr:row>
                    <xdr:rowOff>0</xdr:rowOff>
                  </from>
                  <to>
                    <xdr:col>4</xdr:col>
                    <xdr:colOff>2695575</xdr:colOff>
                    <xdr:row>97</xdr:row>
                    <xdr:rowOff>57150</xdr:rowOff>
                  </to>
                </anchor>
              </controlPr>
            </control>
          </mc:Choice>
        </mc:AlternateContent>
        <mc:AlternateContent xmlns:mc="http://schemas.openxmlformats.org/markup-compatibility/2006">
          <mc:Choice Requires="x14">
            <control shapeId="1401" r:id="rId121" name="Group Box 377">
              <controlPr defaultSize="0" autoFill="0" autoPict="0">
                <anchor moveWithCells="1">
                  <from>
                    <xdr:col>4</xdr:col>
                    <xdr:colOff>0</xdr:colOff>
                    <xdr:row>99</xdr:row>
                    <xdr:rowOff>0</xdr:rowOff>
                  </from>
                  <to>
                    <xdr:col>4</xdr:col>
                    <xdr:colOff>2695575</xdr:colOff>
                    <xdr:row>102</xdr:row>
                    <xdr:rowOff>57150</xdr:rowOff>
                  </to>
                </anchor>
              </controlPr>
            </control>
          </mc:Choice>
        </mc:AlternateContent>
        <mc:AlternateContent xmlns:mc="http://schemas.openxmlformats.org/markup-compatibility/2006">
          <mc:Choice Requires="x14">
            <control shapeId="1408" r:id="rId122" name="Group Box 384">
              <controlPr defaultSize="0" autoFill="0" autoPict="0">
                <anchor moveWithCells="1">
                  <from>
                    <xdr:col>4</xdr:col>
                    <xdr:colOff>9525</xdr:colOff>
                    <xdr:row>104</xdr:row>
                    <xdr:rowOff>0</xdr:rowOff>
                  </from>
                  <to>
                    <xdr:col>4</xdr:col>
                    <xdr:colOff>2705100</xdr:colOff>
                    <xdr:row>107</xdr:row>
                    <xdr:rowOff>57150</xdr:rowOff>
                  </to>
                </anchor>
              </controlPr>
            </control>
          </mc:Choice>
        </mc:AlternateContent>
        <mc:AlternateContent xmlns:mc="http://schemas.openxmlformats.org/markup-compatibility/2006">
          <mc:Choice Requires="x14">
            <control shapeId="1413" r:id="rId123" name="Group Box 389">
              <controlPr defaultSize="0" autoFill="0" autoPict="0">
                <anchor moveWithCells="1">
                  <from>
                    <xdr:col>4</xdr:col>
                    <xdr:colOff>0</xdr:colOff>
                    <xdr:row>109</xdr:row>
                    <xdr:rowOff>0</xdr:rowOff>
                  </from>
                  <to>
                    <xdr:col>4</xdr:col>
                    <xdr:colOff>2695575</xdr:colOff>
                    <xdr:row>112</xdr:row>
                    <xdr:rowOff>57150</xdr:rowOff>
                  </to>
                </anchor>
              </controlPr>
            </control>
          </mc:Choice>
        </mc:AlternateContent>
        <mc:AlternateContent xmlns:mc="http://schemas.openxmlformats.org/markup-compatibility/2006">
          <mc:Choice Requires="x14">
            <control shapeId="1414" r:id="rId124" name="Check Box 390">
              <controlPr defaultSize="0" autoFill="0" autoLine="0" autoPict="0" altText="Biobased">
                <anchor moveWithCells="1">
                  <from>
                    <xdr:col>2</xdr:col>
                    <xdr:colOff>0</xdr:colOff>
                    <xdr:row>65</xdr:row>
                    <xdr:rowOff>171450</xdr:rowOff>
                  </from>
                  <to>
                    <xdr:col>4</xdr:col>
                    <xdr:colOff>323850</xdr:colOff>
                    <xdr:row>67</xdr:row>
                    <xdr:rowOff>28575</xdr:rowOff>
                  </to>
                </anchor>
              </controlPr>
            </control>
          </mc:Choice>
        </mc:AlternateContent>
        <mc:AlternateContent xmlns:mc="http://schemas.openxmlformats.org/markup-compatibility/2006">
          <mc:Choice Requires="x14">
            <control shapeId="1420" r:id="rId125" name="Option Button 396">
              <controlPr defaultSize="0" autoFill="0" autoLine="0" autoPict="0">
                <anchor moveWithCells="1">
                  <from>
                    <xdr:col>4</xdr:col>
                    <xdr:colOff>47625</xdr:colOff>
                    <xdr:row>123</xdr:row>
                    <xdr:rowOff>180975</xdr:rowOff>
                  </from>
                  <to>
                    <xdr:col>4</xdr:col>
                    <xdr:colOff>2552700</xdr:colOff>
                    <xdr:row>125</xdr:row>
                    <xdr:rowOff>19050</xdr:rowOff>
                  </to>
                </anchor>
              </controlPr>
            </control>
          </mc:Choice>
        </mc:AlternateContent>
        <mc:AlternateContent xmlns:mc="http://schemas.openxmlformats.org/markup-compatibility/2006">
          <mc:Choice Requires="x14">
            <control shapeId="1421" r:id="rId126" name="Option Button 397">
              <controlPr defaultSize="0" autoFill="0" autoLine="0" autoPict="0">
                <anchor moveWithCells="1">
                  <from>
                    <xdr:col>2</xdr:col>
                    <xdr:colOff>19050</xdr:colOff>
                    <xdr:row>34</xdr:row>
                    <xdr:rowOff>0</xdr:rowOff>
                  </from>
                  <to>
                    <xdr:col>2</xdr:col>
                    <xdr:colOff>2266950</xdr:colOff>
                    <xdr:row>34</xdr:row>
                    <xdr:rowOff>180975</xdr:rowOff>
                  </to>
                </anchor>
              </controlPr>
            </control>
          </mc:Choice>
        </mc:AlternateContent>
        <mc:AlternateContent xmlns:mc="http://schemas.openxmlformats.org/markup-compatibility/2006">
          <mc:Choice Requires="x14">
            <control shapeId="1422" r:id="rId127" name="Group Box 398">
              <controlPr defaultSize="0" autoFill="0" autoPict="0" altText="Dakisolatie">
                <anchor moveWithCells="1">
                  <from>
                    <xdr:col>2</xdr:col>
                    <xdr:colOff>0</xdr:colOff>
                    <xdr:row>33</xdr:row>
                    <xdr:rowOff>0</xdr:rowOff>
                  </from>
                  <to>
                    <xdr:col>2</xdr:col>
                    <xdr:colOff>2695575</xdr:colOff>
                    <xdr:row>36</xdr:row>
                    <xdr:rowOff>104775</xdr:rowOff>
                  </to>
                </anchor>
              </controlPr>
            </control>
          </mc:Choice>
        </mc:AlternateContent>
        <mc:AlternateContent xmlns:mc="http://schemas.openxmlformats.org/markup-compatibility/2006">
          <mc:Choice Requires="x14">
            <control shapeId="1423" r:id="rId128" name="Option Button 399">
              <controlPr defaultSize="0" autoFill="0" autoLine="0" autoPict="0">
                <anchor moveWithCells="1">
                  <from>
                    <xdr:col>4</xdr:col>
                    <xdr:colOff>28575</xdr:colOff>
                    <xdr:row>33</xdr:row>
                    <xdr:rowOff>171450</xdr:rowOff>
                  </from>
                  <to>
                    <xdr:col>4</xdr:col>
                    <xdr:colOff>2495550</xdr:colOff>
                    <xdr:row>35</xdr:row>
                    <xdr:rowOff>0</xdr:rowOff>
                  </to>
                </anchor>
              </controlPr>
            </control>
          </mc:Choice>
        </mc:AlternateContent>
        <mc:AlternateContent xmlns:mc="http://schemas.openxmlformats.org/markup-compatibility/2006">
          <mc:Choice Requires="x14">
            <control shapeId="1424" r:id="rId129" name="Group Box 400">
              <controlPr defaultSize="0" autoFill="0" autoPict="0" altText="Zolder-of vlieringisolatie">
                <anchor moveWithCells="1">
                  <from>
                    <xdr:col>4</xdr:col>
                    <xdr:colOff>9525</xdr:colOff>
                    <xdr:row>33</xdr:row>
                    <xdr:rowOff>0</xdr:rowOff>
                  </from>
                  <to>
                    <xdr:col>4</xdr:col>
                    <xdr:colOff>2705100</xdr:colOff>
                    <xdr:row>38</xdr:row>
                    <xdr:rowOff>47625</xdr:rowOff>
                  </to>
                </anchor>
              </controlPr>
            </control>
          </mc:Choice>
        </mc:AlternateContent>
        <mc:AlternateContent xmlns:mc="http://schemas.openxmlformats.org/markup-compatibility/2006">
          <mc:Choice Requires="x14">
            <control shapeId="1426" r:id="rId130" name="Option Button 402">
              <controlPr defaultSize="0" autoFill="0" autoLine="0" autoPict="0">
                <anchor moveWithCells="1">
                  <from>
                    <xdr:col>2</xdr:col>
                    <xdr:colOff>19050</xdr:colOff>
                    <xdr:row>35</xdr:row>
                    <xdr:rowOff>0</xdr:rowOff>
                  </from>
                  <to>
                    <xdr:col>2</xdr:col>
                    <xdr:colOff>2457450</xdr:colOff>
                    <xdr:row>35</xdr:row>
                    <xdr:rowOff>180975</xdr:rowOff>
                  </to>
                </anchor>
              </controlPr>
            </control>
          </mc:Choice>
        </mc:AlternateContent>
        <mc:AlternateContent xmlns:mc="http://schemas.openxmlformats.org/markup-compatibility/2006">
          <mc:Choice Requires="x14">
            <control shapeId="1427" r:id="rId131" name="Option Button 403">
              <controlPr defaultSize="0" autoFill="0" autoLine="0" autoPict="0">
                <anchor moveWithCells="1">
                  <from>
                    <xdr:col>4</xdr:col>
                    <xdr:colOff>28575</xdr:colOff>
                    <xdr:row>34</xdr:row>
                    <xdr:rowOff>171450</xdr:rowOff>
                  </from>
                  <to>
                    <xdr:col>4</xdr:col>
                    <xdr:colOff>2476500</xdr:colOff>
                    <xdr:row>36</xdr:row>
                    <xdr:rowOff>0</xdr:rowOff>
                  </to>
                </anchor>
              </controlPr>
            </control>
          </mc:Choice>
        </mc:AlternateContent>
        <mc:AlternateContent xmlns:mc="http://schemas.openxmlformats.org/markup-compatibility/2006">
          <mc:Choice Requires="x14">
            <control shapeId="1428" r:id="rId132" name="Option Button 404">
              <controlPr defaultSize="0" autoFill="0" autoLine="0" autoPict="0">
                <anchor moveWithCells="1">
                  <from>
                    <xdr:col>4</xdr:col>
                    <xdr:colOff>28575</xdr:colOff>
                    <xdr:row>35</xdr:row>
                    <xdr:rowOff>171450</xdr:rowOff>
                  </from>
                  <to>
                    <xdr:col>4</xdr:col>
                    <xdr:colOff>2371725</xdr:colOff>
                    <xdr:row>37</xdr:row>
                    <xdr:rowOff>0</xdr:rowOff>
                  </to>
                </anchor>
              </controlPr>
            </control>
          </mc:Choice>
        </mc:AlternateContent>
        <mc:AlternateContent xmlns:mc="http://schemas.openxmlformats.org/markup-compatibility/2006">
          <mc:Choice Requires="x14">
            <control shapeId="1429" r:id="rId133" name="Option Button 405">
              <controlPr defaultSize="0" autoFill="0" autoLine="0" autoPict="0">
                <anchor moveWithCells="1">
                  <from>
                    <xdr:col>4</xdr:col>
                    <xdr:colOff>28575</xdr:colOff>
                    <xdr:row>30</xdr:row>
                    <xdr:rowOff>171450</xdr:rowOff>
                  </from>
                  <to>
                    <xdr:col>4</xdr:col>
                    <xdr:colOff>2371725</xdr:colOff>
                    <xdr:row>32</xdr:row>
                    <xdr:rowOff>0</xdr:rowOff>
                  </to>
                </anchor>
              </controlPr>
            </control>
          </mc:Choice>
        </mc:AlternateContent>
        <mc:AlternateContent xmlns:mc="http://schemas.openxmlformats.org/markup-compatibility/2006">
          <mc:Choice Requires="x14">
            <control shapeId="1430" r:id="rId134" name="Option Button 406">
              <controlPr defaultSize="0" autoFill="0" autoLine="0" autoPict="0">
                <anchor moveWithCells="1">
                  <from>
                    <xdr:col>4</xdr:col>
                    <xdr:colOff>28575</xdr:colOff>
                    <xdr:row>36</xdr:row>
                    <xdr:rowOff>171450</xdr:rowOff>
                  </from>
                  <to>
                    <xdr:col>4</xdr:col>
                    <xdr:colOff>2371725</xdr:colOff>
                    <xdr:row>38</xdr:row>
                    <xdr:rowOff>0</xdr:rowOff>
                  </to>
                </anchor>
              </controlPr>
            </control>
          </mc:Choice>
        </mc:AlternateContent>
        <mc:AlternateContent xmlns:mc="http://schemas.openxmlformats.org/markup-compatibility/2006">
          <mc:Choice Requires="x14">
            <control shapeId="1431" r:id="rId135" name="Option Button 407">
              <controlPr defaultSize="0" autoFill="0" autoLine="0" autoPict="0">
                <anchor moveWithCells="1">
                  <from>
                    <xdr:col>4</xdr:col>
                    <xdr:colOff>38100</xdr:colOff>
                    <xdr:row>42</xdr:row>
                    <xdr:rowOff>171450</xdr:rowOff>
                  </from>
                  <to>
                    <xdr:col>4</xdr:col>
                    <xdr:colOff>2571750</xdr:colOff>
                    <xdr:row>44</xdr:row>
                    <xdr:rowOff>9525</xdr:rowOff>
                  </to>
                </anchor>
              </controlPr>
            </control>
          </mc:Choice>
        </mc:AlternateContent>
        <mc:AlternateContent xmlns:mc="http://schemas.openxmlformats.org/markup-compatibility/2006">
          <mc:Choice Requires="x14">
            <control shapeId="1432" r:id="rId136" name="Option Button 408">
              <controlPr defaultSize="0" autoFill="0" autoLine="0" autoPict="0">
                <anchor moveWithCells="1">
                  <from>
                    <xdr:col>4</xdr:col>
                    <xdr:colOff>47625</xdr:colOff>
                    <xdr:row>48</xdr:row>
                    <xdr:rowOff>180975</xdr:rowOff>
                  </from>
                  <to>
                    <xdr:col>4</xdr:col>
                    <xdr:colOff>2638425</xdr:colOff>
                    <xdr:row>50</xdr:row>
                    <xdr:rowOff>9525</xdr:rowOff>
                  </to>
                </anchor>
              </controlPr>
            </control>
          </mc:Choice>
        </mc:AlternateContent>
        <mc:AlternateContent xmlns:mc="http://schemas.openxmlformats.org/markup-compatibility/2006">
          <mc:Choice Requires="x14">
            <control shapeId="1433" r:id="rId137" name="Option Button 409">
              <controlPr defaultSize="0" autoFill="0" autoLine="0" autoPict="0">
                <anchor moveWithCells="1">
                  <from>
                    <xdr:col>4</xdr:col>
                    <xdr:colOff>66675</xdr:colOff>
                    <xdr:row>54</xdr:row>
                    <xdr:rowOff>171450</xdr:rowOff>
                  </from>
                  <to>
                    <xdr:col>4</xdr:col>
                    <xdr:colOff>2524125</xdr:colOff>
                    <xdr:row>56</xdr:row>
                    <xdr:rowOff>9525</xdr:rowOff>
                  </to>
                </anchor>
              </controlPr>
            </control>
          </mc:Choice>
        </mc:AlternateContent>
        <mc:AlternateContent xmlns:mc="http://schemas.openxmlformats.org/markup-compatibility/2006">
          <mc:Choice Requires="x14">
            <control shapeId="1434" r:id="rId138" name="Option Button 410">
              <controlPr defaultSize="0" autoFill="0" autoLine="0" autoPict="0">
                <anchor moveWithCells="1">
                  <from>
                    <xdr:col>2</xdr:col>
                    <xdr:colOff>19050</xdr:colOff>
                    <xdr:row>57</xdr:row>
                    <xdr:rowOff>180975</xdr:rowOff>
                  </from>
                  <to>
                    <xdr:col>2</xdr:col>
                    <xdr:colOff>2295525</xdr:colOff>
                    <xdr:row>59</xdr:row>
                    <xdr:rowOff>9525</xdr:rowOff>
                  </to>
                </anchor>
              </controlPr>
            </control>
          </mc:Choice>
        </mc:AlternateContent>
        <mc:AlternateContent xmlns:mc="http://schemas.openxmlformats.org/markup-compatibility/2006">
          <mc:Choice Requires="x14">
            <control shapeId="1435" r:id="rId139" name="Group Box 411">
              <controlPr defaultSize="0" autoFill="0" autoPict="0">
                <anchor moveWithCells="1">
                  <from>
                    <xdr:col>2</xdr:col>
                    <xdr:colOff>0</xdr:colOff>
                    <xdr:row>57</xdr:row>
                    <xdr:rowOff>0</xdr:rowOff>
                  </from>
                  <to>
                    <xdr:col>2</xdr:col>
                    <xdr:colOff>2695575</xdr:colOff>
                    <xdr:row>60</xdr:row>
                    <xdr:rowOff>104775</xdr:rowOff>
                  </to>
                </anchor>
              </controlPr>
            </control>
          </mc:Choice>
        </mc:AlternateContent>
        <mc:AlternateContent xmlns:mc="http://schemas.openxmlformats.org/markup-compatibility/2006">
          <mc:Choice Requires="x14">
            <control shapeId="1436" r:id="rId140" name="Option Button 412">
              <controlPr defaultSize="0" autoFill="0" autoLine="0" autoPict="0">
                <anchor moveWithCells="1">
                  <from>
                    <xdr:col>4</xdr:col>
                    <xdr:colOff>66675</xdr:colOff>
                    <xdr:row>57</xdr:row>
                    <xdr:rowOff>171450</xdr:rowOff>
                  </from>
                  <to>
                    <xdr:col>4</xdr:col>
                    <xdr:colOff>2409825</xdr:colOff>
                    <xdr:row>59</xdr:row>
                    <xdr:rowOff>9525</xdr:rowOff>
                  </to>
                </anchor>
              </controlPr>
            </control>
          </mc:Choice>
        </mc:AlternateContent>
        <mc:AlternateContent xmlns:mc="http://schemas.openxmlformats.org/markup-compatibility/2006">
          <mc:Choice Requires="x14">
            <control shapeId="1437" r:id="rId141" name="Group Box 413">
              <controlPr defaultSize="0" autoFill="0" autoPict="0">
                <anchor moveWithCells="1">
                  <from>
                    <xdr:col>4</xdr:col>
                    <xdr:colOff>0</xdr:colOff>
                    <xdr:row>57</xdr:row>
                    <xdr:rowOff>0</xdr:rowOff>
                  </from>
                  <to>
                    <xdr:col>4</xdr:col>
                    <xdr:colOff>2695575</xdr:colOff>
                    <xdr:row>62</xdr:row>
                    <xdr:rowOff>47625</xdr:rowOff>
                  </to>
                </anchor>
              </controlPr>
            </control>
          </mc:Choice>
        </mc:AlternateContent>
        <mc:AlternateContent xmlns:mc="http://schemas.openxmlformats.org/markup-compatibility/2006">
          <mc:Choice Requires="x14">
            <control shapeId="1438" r:id="rId142" name="Option Button 414">
              <controlPr defaultSize="0" autoFill="0" autoLine="0" autoPict="0">
                <anchor moveWithCells="1">
                  <from>
                    <xdr:col>2</xdr:col>
                    <xdr:colOff>19050</xdr:colOff>
                    <xdr:row>58</xdr:row>
                    <xdr:rowOff>180975</xdr:rowOff>
                  </from>
                  <to>
                    <xdr:col>2</xdr:col>
                    <xdr:colOff>2162175</xdr:colOff>
                    <xdr:row>60</xdr:row>
                    <xdr:rowOff>9525</xdr:rowOff>
                  </to>
                </anchor>
              </controlPr>
            </control>
          </mc:Choice>
        </mc:AlternateContent>
        <mc:AlternateContent xmlns:mc="http://schemas.openxmlformats.org/markup-compatibility/2006">
          <mc:Choice Requires="x14">
            <control shapeId="1440" r:id="rId143" name="Option Button 416">
              <controlPr defaultSize="0" autoFill="0" autoLine="0" autoPict="0">
                <anchor moveWithCells="1">
                  <from>
                    <xdr:col>4</xdr:col>
                    <xdr:colOff>66675</xdr:colOff>
                    <xdr:row>58</xdr:row>
                    <xdr:rowOff>171450</xdr:rowOff>
                  </from>
                  <to>
                    <xdr:col>4</xdr:col>
                    <xdr:colOff>2581275</xdr:colOff>
                    <xdr:row>60</xdr:row>
                    <xdr:rowOff>9525</xdr:rowOff>
                  </to>
                </anchor>
              </controlPr>
            </control>
          </mc:Choice>
        </mc:AlternateContent>
        <mc:AlternateContent xmlns:mc="http://schemas.openxmlformats.org/markup-compatibility/2006">
          <mc:Choice Requires="x14">
            <control shapeId="1441" r:id="rId144" name="Option Button 417">
              <controlPr defaultSize="0" autoFill="0" autoLine="0" autoPict="0">
                <anchor moveWithCells="1">
                  <from>
                    <xdr:col>4</xdr:col>
                    <xdr:colOff>66675</xdr:colOff>
                    <xdr:row>59</xdr:row>
                    <xdr:rowOff>171450</xdr:rowOff>
                  </from>
                  <to>
                    <xdr:col>4</xdr:col>
                    <xdr:colOff>2524125</xdr:colOff>
                    <xdr:row>61</xdr:row>
                    <xdr:rowOff>9525</xdr:rowOff>
                  </to>
                </anchor>
              </controlPr>
            </control>
          </mc:Choice>
        </mc:AlternateContent>
        <mc:AlternateContent xmlns:mc="http://schemas.openxmlformats.org/markup-compatibility/2006">
          <mc:Choice Requires="x14">
            <control shapeId="1442" r:id="rId145" name="Option Button 418">
              <controlPr defaultSize="0" autoFill="0" autoLine="0" autoPict="0">
                <anchor moveWithCells="1">
                  <from>
                    <xdr:col>4</xdr:col>
                    <xdr:colOff>66675</xdr:colOff>
                    <xdr:row>60</xdr:row>
                    <xdr:rowOff>171450</xdr:rowOff>
                  </from>
                  <to>
                    <xdr:col>4</xdr:col>
                    <xdr:colOff>2524125</xdr:colOff>
                    <xdr:row>62</xdr:row>
                    <xdr:rowOff>9525</xdr:rowOff>
                  </to>
                </anchor>
              </controlPr>
            </control>
          </mc:Choice>
        </mc:AlternateContent>
        <mc:AlternateContent xmlns:mc="http://schemas.openxmlformats.org/markup-compatibility/2006">
          <mc:Choice Requires="x14">
            <control shapeId="1443" r:id="rId146" name="Check Box 419">
              <controlPr defaultSize="0" autoFill="0" autoLine="0" autoPict="0" altText="Biobased">
                <anchor moveWithCells="1">
                  <from>
                    <xdr:col>2</xdr:col>
                    <xdr:colOff>0</xdr:colOff>
                    <xdr:row>67</xdr:row>
                    <xdr:rowOff>171450</xdr:rowOff>
                  </from>
                  <to>
                    <xdr:col>4</xdr:col>
                    <xdr:colOff>323850</xdr:colOff>
                    <xdr:row>69</xdr:row>
                    <xdr:rowOff>28575</xdr:rowOff>
                  </to>
                </anchor>
              </controlPr>
            </control>
          </mc:Choice>
        </mc:AlternateContent>
        <mc:AlternateContent xmlns:mc="http://schemas.openxmlformats.org/markup-compatibility/2006">
          <mc:Choice Requires="x14">
            <control shapeId="1444" r:id="rId147" name="Check Box 420">
              <controlPr defaultSize="0" autoFill="0" autoLine="0" autoPict="0" altText="Biobased">
                <anchor moveWithCells="1">
                  <from>
                    <xdr:col>2</xdr:col>
                    <xdr:colOff>0</xdr:colOff>
                    <xdr:row>76</xdr:row>
                    <xdr:rowOff>0</xdr:rowOff>
                  </from>
                  <to>
                    <xdr:col>2</xdr:col>
                    <xdr:colOff>1962150</xdr:colOff>
                    <xdr:row>77</xdr:row>
                    <xdr:rowOff>47625</xdr:rowOff>
                  </to>
                </anchor>
              </controlPr>
            </control>
          </mc:Choice>
        </mc:AlternateContent>
        <mc:AlternateContent xmlns:mc="http://schemas.openxmlformats.org/markup-compatibility/2006">
          <mc:Choice Requires="x14">
            <control shapeId="1452" r:id="rId148" name="Check Box 428">
              <controlPr defaultSize="0" autoFill="0" autoLine="0" autoPict="0" altText="Biobased">
                <anchor moveWithCells="1">
                  <from>
                    <xdr:col>4</xdr:col>
                    <xdr:colOff>66675</xdr:colOff>
                    <xdr:row>84</xdr:row>
                    <xdr:rowOff>152400</xdr:rowOff>
                  </from>
                  <to>
                    <xdr:col>4</xdr:col>
                    <xdr:colOff>2028825</xdr:colOff>
                    <xdr:row>86</xdr:row>
                    <xdr:rowOff>9525</xdr:rowOff>
                  </to>
                </anchor>
              </controlPr>
            </control>
          </mc:Choice>
        </mc:AlternateContent>
        <mc:AlternateContent xmlns:mc="http://schemas.openxmlformats.org/markup-compatibility/2006">
          <mc:Choice Requires="x14">
            <control shapeId="1453" r:id="rId149" name="Check Box 429">
              <controlPr defaultSize="0" autoFill="0" autoLine="0" autoPict="0" altText="Biobased">
                <anchor moveWithCells="1">
                  <from>
                    <xdr:col>4</xdr:col>
                    <xdr:colOff>66675</xdr:colOff>
                    <xdr:row>85</xdr:row>
                    <xdr:rowOff>152400</xdr:rowOff>
                  </from>
                  <to>
                    <xdr:col>4</xdr:col>
                    <xdr:colOff>2028825</xdr:colOff>
                    <xdr:row>87</xdr:row>
                    <xdr:rowOff>9525</xdr:rowOff>
                  </to>
                </anchor>
              </controlPr>
            </control>
          </mc:Choice>
        </mc:AlternateContent>
        <mc:AlternateContent xmlns:mc="http://schemas.openxmlformats.org/markup-compatibility/2006">
          <mc:Choice Requires="x14">
            <control shapeId="1456" r:id="rId150" name="Check Box 432">
              <controlPr defaultSize="0" autoFill="0" autoLine="0" autoPict="0" altText="Biobased">
                <anchor moveWithCells="1">
                  <from>
                    <xdr:col>4</xdr:col>
                    <xdr:colOff>66675</xdr:colOff>
                    <xdr:row>89</xdr:row>
                    <xdr:rowOff>152400</xdr:rowOff>
                  </from>
                  <to>
                    <xdr:col>4</xdr:col>
                    <xdr:colOff>2028825</xdr:colOff>
                    <xdr:row>91</xdr:row>
                    <xdr:rowOff>9525</xdr:rowOff>
                  </to>
                </anchor>
              </controlPr>
            </control>
          </mc:Choice>
        </mc:AlternateContent>
        <mc:AlternateContent xmlns:mc="http://schemas.openxmlformats.org/markup-compatibility/2006">
          <mc:Choice Requires="x14">
            <control shapeId="1457" r:id="rId151" name="Check Box 433">
              <controlPr defaultSize="0" autoFill="0" autoLine="0" autoPict="0" altText="Biobased">
                <anchor moveWithCells="1">
                  <from>
                    <xdr:col>4</xdr:col>
                    <xdr:colOff>66675</xdr:colOff>
                    <xdr:row>90</xdr:row>
                    <xdr:rowOff>152400</xdr:rowOff>
                  </from>
                  <to>
                    <xdr:col>4</xdr:col>
                    <xdr:colOff>2028825</xdr:colOff>
                    <xdr:row>92</xdr:row>
                    <xdr:rowOff>9525</xdr:rowOff>
                  </to>
                </anchor>
              </controlPr>
            </control>
          </mc:Choice>
        </mc:AlternateContent>
        <mc:AlternateContent xmlns:mc="http://schemas.openxmlformats.org/markup-compatibility/2006">
          <mc:Choice Requires="x14">
            <control shapeId="1458" r:id="rId152" name="Check Box 434">
              <controlPr defaultSize="0" autoFill="0" autoLine="0" autoPict="0" altText="Biobased">
                <anchor moveWithCells="1">
                  <from>
                    <xdr:col>4</xdr:col>
                    <xdr:colOff>66675</xdr:colOff>
                    <xdr:row>94</xdr:row>
                    <xdr:rowOff>152400</xdr:rowOff>
                  </from>
                  <to>
                    <xdr:col>4</xdr:col>
                    <xdr:colOff>2028825</xdr:colOff>
                    <xdr:row>96</xdr:row>
                    <xdr:rowOff>9525</xdr:rowOff>
                  </to>
                </anchor>
              </controlPr>
            </control>
          </mc:Choice>
        </mc:AlternateContent>
        <mc:AlternateContent xmlns:mc="http://schemas.openxmlformats.org/markup-compatibility/2006">
          <mc:Choice Requires="x14">
            <control shapeId="1459" r:id="rId153" name="Check Box 435">
              <controlPr defaultSize="0" autoFill="0" autoLine="0" autoPict="0" altText="Biobased">
                <anchor moveWithCells="1">
                  <from>
                    <xdr:col>4</xdr:col>
                    <xdr:colOff>66675</xdr:colOff>
                    <xdr:row>95</xdr:row>
                    <xdr:rowOff>152400</xdr:rowOff>
                  </from>
                  <to>
                    <xdr:col>4</xdr:col>
                    <xdr:colOff>2028825</xdr:colOff>
                    <xdr:row>97</xdr:row>
                    <xdr:rowOff>9525</xdr:rowOff>
                  </to>
                </anchor>
              </controlPr>
            </control>
          </mc:Choice>
        </mc:AlternateContent>
        <mc:AlternateContent xmlns:mc="http://schemas.openxmlformats.org/markup-compatibility/2006">
          <mc:Choice Requires="x14">
            <control shapeId="1460" r:id="rId154" name="Check Box 436">
              <controlPr defaultSize="0" autoFill="0" autoLine="0" autoPict="0" altText="Biobased">
                <anchor moveWithCells="1">
                  <from>
                    <xdr:col>4</xdr:col>
                    <xdr:colOff>66675</xdr:colOff>
                    <xdr:row>99</xdr:row>
                    <xdr:rowOff>152400</xdr:rowOff>
                  </from>
                  <to>
                    <xdr:col>4</xdr:col>
                    <xdr:colOff>2028825</xdr:colOff>
                    <xdr:row>101</xdr:row>
                    <xdr:rowOff>9525</xdr:rowOff>
                  </to>
                </anchor>
              </controlPr>
            </control>
          </mc:Choice>
        </mc:AlternateContent>
        <mc:AlternateContent xmlns:mc="http://schemas.openxmlformats.org/markup-compatibility/2006">
          <mc:Choice Requires="x14">
            <control shapeId="1461" r:id="rId155" name="Check Box 437">
              <controlPr defaultSize="0" autoFill="0" autoLine="0" autoPict="0" altText="Biobased">
                <anchor moveWithCells="1">
                  <from>
                    <xdr:col>4</xdr:col>
                    <xdr:colOff>66675</xdr:colOff>
                    <xdr:row>100</xdr:row>
                    <xdr:rowOff>152400</xdr:rowOff>
                  </from>
                  <to>
                    <xdr:col>4</xdr:col>
                    <xdr:colOff>2028825</xdr:colOff>
                    <xdr:row>102</xdr:row>
                    <xdr:rowOff>9525</xdr:rowOff>
                  </to>
                </anchor>
              </controlPr>
            </control>
          </mc:Choice>
        </mc:AlternateContent>
        <mc:AlternateContent xmlns:mc="http://schemas.openxmlformats.org/markup-compatibility/2006">
          <mc:Choice Requires="x14">
            <control shapeId="1462" r:id="rId156" name="Check Box 438">
              <controlPr defaultSize="0" autoFill="0" autoLine="0" autoPict="0" altText="Biobased">
                <anchor moveWithCells="1">
                  <from>
                    <xdr:col>4</xdr:col>
                    <xdr:colOff>66675</xdr:colOff>
                    <xdr:row>104</xdr:row>
                    <xdr:rowOff>152400</xdr:rowOff>
                  </from>
                  <to>
                    <xdr:col>4</xdr:col>
                    <xdr:colOff>2028825</xdr:colOff>
                    <xdr:row>106</xdr:row>
                    <xdr:rowOff>9525</xdr:rowOff>
                  </to>
                </anchor>
              </controlPr>
            </control>
          </mc:Choice>
        </mc:AlternateContent>
        <mc:AlternateContent xmlns:mc="http://schemas.openxmlformats.org/markup-compatibility/2006">
          <mc:Choice Requires="x14">
            <control shapeId="1463" r:id="rId157" name="Check Box 439">
              <controlPr defaultSize="0" autoFill="0" autoLine="0" autoPict="0" altText="Biobased">
                <anchor moveWithCells="1">
                  <from>
                    <xdr:col>4</xdr:col>
                    <xdr:colOff>66675</xdr:colOff>
                    <xdr:row>105</xdr:row>
                    <xdr:rowOff>152400</xdr:rowOff>
                  </from>
                  <to>
                    <xdr:col>4</xdr:col>
                    <xdr:colOff>2028825</xdr:colOff>
                    <xdr:row>107</xdr:row>
                    <xdr:rowOff>9525</xdr:rowOff>
                  </to>
                </anchor>
              </controlPr>
            </control>
          </mc:Choice>
        </mc:AlternateContent>
        <mc:AlternateContent xmlns:mc="http://schemas.openxmlformats.org/markup-compatibility/2006">
          <mc:Choice Requires="x14">
            <control shapeId="1464" r:id="rId158" name="Check Box 440">
              <controlPr defaultSize="0" autoFill="0" autoLine="0" autoPict="0" altText="Biobased">
                <anchor moveWithCells="1">
                  <from>
                    <xdr:col>4</xdr:col>
                    <xdr:colOff>66675</xdr:colOff>
                    <xdr:row>109</xdr:row>
                    <xdr:rowOff>152400</xdr:rowOff>
                  </from>
                  <to>
                    <xdr:col>4</xdr:col>
                    <xdr:colOff>2028825</xdr:colOff>
                    <xdr:row>111</xdr:row>
                    <xdr:rowOff>9525</xdr:rowOff>
                  </to>
                </anchor>
              </controlPr>
            </control>
          </mc:Choice>
        </mc:AlternateContent>
        <mc:AlternateContent xmlns:mc="http://schemas.openxmlformats.org/markup-compatibility/2006">
          <mc:Choice Requires="x14">
            <control shapeId="1465" r:id="rId159" name="Check Box 441">
              <controlPr defaultSize="0" autoFill="0" autoLine="0" autoPict="0" altText="Biobased">
                <anchor moveWithCells="1">
                  <from>
                    <xdr:col>4</xdr:col>
                    <xdr:colOff>66675</xdr:colOff>
                    <xdr:row>110</xdr:row>
                    <xdr:rowOff>152400</xdr:rowOff>
                  </from>
                  <to>
                    <xdr:col>4</xdr:col>
                    <xdr:colOff>2028825</xdr:colOff>
                    <xdr:row>112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58" yWindow="652" count="2">
        <x14:dataValidation type="whole" allowBlank="1" showInputMessage="1" showErrorMessage="1" errorTitle="Onjuiste invoerwaarde" error="Het ingevulde vermogen bedraagt niet een geheel aantal kW of ligt niet tussen de vermogensgrenzen van de gekozen categorie." promptTitle="Vermogen" xr:uid="{7F813F80-8176-450B-AEFD-EC0DEDF31C8B}">
          <x14:formula1>
            <xm:f>Hulpblad!C228</xm:f>
          </x14:formula1>
          <x14:formula2>
            <xm:f>Hulpblad!C229</xm:f>
          </x14:formula2>
          <xm:sqref>C146:C147</xm:sqref>
        </x14:dataValidation>
        <x14:dataValidation type="whole" allowBlank="1" showInputMessage="1" showErrorMessage="1" errorTitle="Onjuiste invoerwaarde" error="Het ingevulde vermogen bedraagt niet een geheel aantal kW of ligt niet tussen de vermogensgrenzen van de gekozen categorie." promptTitle="Vermogen" xr:uid="{EB4DED0A-46DC-42CC-B5B6-BB954C1501F2}">
          <x14:formula1>
            <xm:f>Hulpblad!C227</xm:f>
          </x14:formula1>
          <x14:formula2>
            <xm:f>Hulpblad!C228</xm:f>
          </x14:formula2>
          <xm:sqref>C143:C145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46A6-9020-4006-A279-D1FEA64A9C9A}">
  <sheetPr>
    <pageSetUpPr fitToPage="1"/>
  </sheetPr>
  <dimension ref="A1:D30"/>
  <sheetViews>
    <sheetView workbookViewId="0">
      <selection activeCell="B13" sqref="B13"/>
    </sheetView>
  </sheetViews>
  <sheetFormatPr defaultRowHeight="15"/>
  <cols>
    <col min="1" max="1" width="55.42578125" style="9" customWidth="1"/>
    <col min="2" max="3" width="40.7109375" style="9" customWidth="1"/>
    <col min="4" max="4" width="12.5703125" style="9" customWidth="1"/>
    <col min="5" max="16384" width="9.140625" style="9"/>
  </cols>
  <sheetData>
    <row r="1" spans="1:3" ht="26.25">
      <c r="A1" s="91" t="s">
        <v>144</v>
      </c>
    </row>
    <row r="2" spans="1:3" ht="26.25">
      <c r="A2" s="91"/>
    </row>
    <row r="4" spans="1:3" ht="15.75">
      <c r="A4" s="107" t="s">
        <v>148</v>
      </c>
      <c r="B4" s="109" t="s">
        <v>145</v>
      </c>
      <c r="C4" s="109" t="s">
        <v>157</v>
      </c>
    </row>
    <row r="5" spans="1:3" ht="20.100000000000001" customHeight="1">
      <c r="A5" s="97" t="s">
        <v>416</v>
      </c>
      <c r="B5" s="142">
        <f>'Keuzeblad maatregelen'!M28</f>
        <v>0</v>
      </c>
      <c r="C5" s="100">
        <f>'Keuzeblad maatregelen'!O28+'Keuzeblad maatregelen'!O67</f>
        <v>0</v>
      </c>
    </row>
    <row r="6" spans="1:3" ht="20.100000000000001" customHeight="1">
      <c r="A6" s="97" t="s">
        <v>415</v>
      </c>
      <c r="B6" s="142">
        <f>'Keuzeblad maatregelen'!M34</f>
        <v>0</v>
      </c>
      <c r="C6" s="100">
        <f>'Keuzeblad maatregelen'!O34+'Keuzeblad maatregelen'!O69</f>
        <v>0</v>
      </c>
    </row>
    <row r="7" spans="1:3" ht="20.100000000000001" customHeight="1">
      <c r="A7" s="98" t="s">
        <v>146</v>
      </c>
      <c r="B7" s="98">
        <f>'Keuzeblad maatregelen'!M40</f>
        <v>0</v>
      </c>
      <c r="C7" s="101">
        <f>'Keuzeblad maatregelen'!O40+'Keuzeblad maatregelen'!O71</f>
        <v>0</v>
      </c>
    </row>
    <row r="8" spans="1:3" ht="20.100000000000001" customHeight="1">
      <c r="A8" s="98" t="s">
        <v>147</v>
      </c>
      <c r="B8" s="98">
        <f>'Keuzeblad maatregelen'!M46</f>
        <v>0</v>
      </c>
      <c r="C8" s="101">
        <f>'Keuzeblad maatregelen'!O46+'Keuzeblad maatregelen'!O73</f>
        <v>0</v>
      </c>
    </row>
    <row r="9" spans="1:3" ht="20.100000000000001" customHeight="1">
      <c r="A9" s="99" t="s">
        <v>417</v>
      </c>
      <c r="B9" s="98">
        <f>'Keuzeblad maatregelen'!M52</f>
        <v>0</v>
      </c>
      <c r="C9" s="101">
        <f>'Keuzeblad maatregelen'!O52+'Keuzeblad maatregelen'!O75</f>
        <v>0</v>
      </c>
    </row>
    <row r="10" spans="1:3" ht="20.100000000000001" customHeight="1">
      <c r="A10" s="99" t="s">
        <v>418</v>
      </c>
      <c r="B10" s="99">
        <f>'Keuzeblad maatregelen'!K58</f>
        <v>0</v>
      </c>
      <c r="C10" s="102">
        <f>'Keuzeblad maatregelen'!O58+'Keuzeblad maatregelen'!O77</f>
        <v>0</v>
      </c>
    </row>
    <row r="11" spans="1:3" ht="20.100000000000001" customHeight="1">
      <c r="A11" s="48"/>
      <c r="B11" s="48"/>
      <c r="C11" s="104"/>
    </row>
    <row r="12" spans="1:3" ht="20.100000000000001" customHeight="1">
      <c r="A12" s="108" t="s">
        <v>154</v>
      </c>
      <c r="B12" s="109" t="s">
        <v>145</v>
      </c>
      <c r="C12" s="109"/>
    </row>
    <row r="13" spans="1:3" ht="20.100000000000001" customHeight="1">
      <c r="A13" s="97" t="s">
        <v>149</v>
      </c>
      <c r="B13" s="97">
        <f>IF('Keuzeblad maatregelen'!M114&gt;0,'Keuzeblad maatregelen'!M85+'Keuzeblad maatregelen'!M87,0)</f>
        <v>0</v>
      </c>
      <c r="C13" s="100">
        <f>IF('Keuzeblad maatregelen'!M114&gt;0,'Keuzeblad maatregelen'!O85+'Keuzeblad maatregelen'!O87,0)</f>
        <v>0</v>
      </c>
    </row>
    <row r="14" spans="1:3" ht="20.100000000000001" customHeight="1">
      <c r="A14" s="98" t="s">
        <v>150</v>
      </c>
      <c r="B14" s="98">
        <f>IF('Keuzeblad maatregelen'!M114&gt;0,'Keuzeblad maatregelen'!M90+'Keuzeblad maatregelen'!M92,0)</f>
        <v>0</v>
      </c>
      <c r="C14" s="101">
        <f>IF('Keuzeblad maatregelen'!M114&gt;0,'Keuzeblad maatregelen'!O90+'Keuzeblad maatregelen'!O92,0)</f>
        <v>0</v>
      </c>
    </row>
    <row r="15" spans="1:3" ht="20.100000000000001" customHeight="1">
      <c r="A15" s="48" t="s">
        <v>160</v>
      </c>
      <c r="B15" s="48">
        <f>IF('Keuzeblad maatregelen'!M114&gt;0,'Keuzeblad maatregelen'!M95+'Keuzeblad maatregelen'!M97,0)</f>
        <v>0</v>
      </c>
      <c r="C15" s="104">
        <f>IF('Keuzeblad maatregelen'!M114&gt;0,'Keuzeblad maatregelen'!O95+'Keuzeblad maatregelen'!O97,0)</f>
        <v>0</v>
      </c>
    </row>
    <row r="16" spans="1:3" ht="20.100000000000001" customHeight="1">
      <c r="A16" s="98" t="s">
        <v>151</v>
      </c>
      <c r="B16" s="98">
        <f>IF('Keuzeblad maatregelen'!M114&gt;0,'Keuzeblad maatregelen'!M100+'Keuzeblad maatregelen'!M102,0)</f>
        <v>0</v>
      </c>
      <c r="C16" s="101">
        <f>IF('Keuzeblad maatregelen'!M114&gt;0,'Keuzeblad maatregelen'!O100+'Keuzeblad maatregelen'!O102,0)</f>
        <v>0</v>
      </c>
    </row>
    <row r="17" spans="1:4" ht="20.100000000000001" customHeight="1">
      <c r="A17" s="99" t="s">
        <v>161</v>
      </c>
      <c r="B17" s="99">
        <f>IF('Keuzeblad maatregelen'!M114&gt;0,'Keuzeblad maatregelen'!M105+'Keuzeblad maatregelen'!M107,0)</f>
        <v>0</v>
      </c>
      <c r="C17" s="102">
        <f>IF('Keuzeblad maatregelen'!M114&gt;0,'Keuzeblad maatregelen'!O105+'Keuzeblad maatregelen'!O107,0)</f>
        <v>0</v>
      </c>
    </row>
    <row r="18" spans="1:4" ht="20.100000000000001" customHeight="1">
      <c r="A18" s="98" t="s">
        <v>162</v>
      </c>
      <c r="B18" s="98">
        <f>IF('Keuzeblad maatregelen'!M114&gt;0,'Keuzeblad maatregelen'!M110+'Keuzeblad maatregelen'!M112,0)</f>
        <v>0</v>
      </c>
      <c r="C18" s="101">
        <f>IF('Keuzeblad maatregelen'!M114&gt;0,'Keuzeblad maatregelen'!O110+'Keuzeblad maatregelen'!O112,0)</f>
        <v>0</v>
      </c>
    </row>
    <row r="20" spans="1:4" ht="15.75">
      <c r="A20" s="107" t="s">
        <v>152</v>
      </c>
      <c r="B20" s="109" t="s">
        <v>158</v>
      </c>
      <c r="C20" s="109"/>
    </row>
    <row r="21" spans="1:4">
      <c r="A21" s="93" t="str">
        <f>"Warmtepomp "&amp;IF(Hulpblad!C205="Geen warmtepomp","",Hulpblad!C205)</f>
        <v xml:space="preserve">Warmtepomp </v>
      </c>
      <c r="B21" s="103" t="str">
        <f>IF('Keuzeblad maatregelen'!C143=0,"",'Keuzeblad maatregelen'!C143)</f>
        <v/>
      </c>
      <c r="C21" s="94">
        <f>'Keuzeblad maatregelen'!O121</f>
        <v>0</v>
      </c>
    </row>
    <row r="22" spans="1:4">
      <c r="A22" s="95"/>
      <c r="B22" s="110"/>
      <c r="C22" s="96"/>
    </row>
    <row r="23" spans="1:4" ht="15.75">
      <c r="A23" s="112" t="s">
        <v>9</v>
      </c>
      <c r="B23" s="111"/>
      <c r="C23" s="109"/>
    </row>
    <row r="24" spans="1:4">
      <c r="A24" s="93" t="str">
        <f>IF(Hulpblad!C236="Geen zonneboiler","Zonneboiler",Hulpblad!C236)</f>
        <v>Zonneboiler</v>
      </c>
      <c r="B24" s="93"/>
      <c r="C24" s="94">
        <f>'Keuzeblad maatregelen'!O152</f>
        <v>0</v>
      </c>
      <c r="D24" s="9" t="s">
        <v>156</v>
      </c>
    </row>
    <row r="25" spans="1:4">
      <c r="C25" s="40"/>
    </row>
    <row r="26" spans="1:4" ht="15.75">
      <c r="A26" s="112" t="s">
        <v>159</v>
      </c>
      <c r="B26" s="92"/>
      <c r="C26" s="109"/>
    </row>
    <row r="27" spans="1:4">
      <c r="A27" s="93" t="s">
        <v>153</v>
      </c>
      <c r="B27" s="93"/>
      <c r="C27" s="94">
        <f>'Keuzeblad maatregelen'!O165</f>
        <v>0</v>
      </c>
    </row>
    <row r="28" spans="1:4">
      <c r="A28" s="93" t="s">
        <v>48</v>
      </c>
      <c r="B28" s="93"/>
      <c r="C28" s="94">
        <f>'Keuzeblad maatregelen'!O184</f>
        <v>0</v>
      </c>
    </row>
    <row r="30" spans="1:4" ht="23.25">
      <c r="A30" s="105" t="s">
        <v>155</v>
      </c>
      <c r="C30" s="106">
        <f>SUM(C5:C10)+SUM(C13:C18)+SUM(C21:C27)+C28</f>
        <v>0</v>
      </c>
    </row>
  </sheetData>
  <sheetProtection algorithmName="SHA-512" hashValue="BPhp8MxY7Z+gvYsyaQI3+X0+X/t4jtZGcIZcobRbvNVvTmIYKbGod5pOS0PgyXgXpIJEP7iMoEgLuujDq4XS2g==" saltValue="jC43Nj8SZsQ/naQncCLjBA==" spinCount="100000" sheet="1" objects="1" scenarios="1"/>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0C93C-DE4A-4407-AD38-FD14A8F368A5}">
  <dimension ref="A1:N611"/>
  <sheetViews>
    <sheetView topLeftCell="E270" zoomScale="75" zoomScaleNormal="75" workbookViewId="0">
      <selection activeCell="H295" sqref="H295"/>
    </sheetView>
  </sheetViews>
  <sheetFormatPr defaultRowHeight="15"/>
  <cols>
    <col min="2" max="2" width="79.140625" customWidth="1"/>
    <col min="3" max="3" width="97.85546875" customWidth="1"/>
    <col min="4" max="4" width="58.42578125" customWidth="1"/>
    <col min="5" max="5" width="75.85546875" customWidth="1"/>
    <col min="6" max="6" width="70.85546875" customWidth="1"/>
    <col min="7" max="7" width="32.85546875" customWidth="1"/>
    <col min="8" max="8" width="44.28515625" customWidth="1"/>
    <col min="9" max="9" width="36.28515625" customWidth="1"/>
    <col min="10" max="10" width="30.7109375" customWidth="1"/>
    <col min="11" max="11" width="29.28515625" customWidth="1"/>
    <col min="12" max="12" width="30" customWidth="1"/>
    <col min="13" max="13" width="26.140625" customWidth="1"/>
    <col min="14" max="14" width="29.5703125" customWidth="1"/>
  </cols>
  <sheetData>
    <row r="1" spans="1:14" ht="18.75">
      <c r="A1" s="134" t="s">
        <v>56</v>
      </c>
      <c r="B1" s="37"/>
      <c r="C1" s="37"/>
      <c r="H1" s="30"/>
    </row>
    <row r="2" spans="1:14">
      <c r="A2" s="37"/>
      <c r="B2" s="37"/>
      <c r="C2" s="37"/>
      <c r="M2" s="181"/>
    </row>
    <row r="3" spans="1:14">
      <c r="A3" s="37"/>
      <c r="B3" s="34" t="s">
        <v>66</v>
      </c>
      <c r="C3" s="37"/>
      <c r="E3" s="1"/>
      <c r="M3" s="181"/>
    </row>
    <row r="4" spans="1:14">
      <c r="A4" s="37"/>
      <c r="B4" s="126">
        <v>1</v>
      </c>
      <c r="C4" s="126"/>
      <c r="M4" s="181"/>
    </row>
    <row r="5" spans="1:14">
      <c r="A5" s="37"/>
      <c r="B5" s="37"/>
      <c r="C5" s="37"/>
      <c r="M5" s="181"/>
    </row>
    <row r="6" spans="1:14">
      <c r="A6" s="37"/>
      <c r="B6" s="37"/>
      <c r="C6" s="126"/>
      <c r="E6" s="6"/>
      <c r="M6" s="181"/>
    </row>
    <row r="7" spans="1:14">
      <c r="A7" s="37"/>
      <c r="B7" s="37"/>
      <c r="C7" s="37"/>
      <c r="M7" s="181"/>
      <c r="N7" s="182"/>
    </row>
    <row r="8" spans="1:14" ht="18.75" customHeight="1">
      <c r="A8" s="37"/>
      <c r="B8" s="133" t="s">
        <v>3</v>
      </c>
      <c r="C8" s="130"/>
      <c r="D8" s="2"/>
      <c r="E8" s="2"/>
      <c r="F8" s="2"/>
      <c r="M8" s="181"/>
      <c r="N8" s="182"/>
    </row>
    <row r="9" spans="1:14">
      <c r="A9" s="37"/>
      <c r="B9" s="33"/>
      <c r="C9" s="130"/>
      <c r="D9" s="2"/>
      <c r="E9" s="2"/>
      <c r="F9" s="2"/>
      <c r="M9" s="181"/>
      <c r="N9" s="182"/>
    </row>
    <row r="10" spans="1:14" ht="33.75" customHeight="1">
      <c r="A10" s="37"/>
      <c r="B10" s="33" t="s">
        <v>57</v>
      </c>
      <c r="C10" s="37"/>
      <c r="E10" s="1"/>
      <c r="F10" s="5"/>
      <c r="G10" s="1"/>
      <c r="H10" s="1"/>
      <c r="I10" s="32"/>
      <c r="J10" s="32"/>
      <c r="K10" s="4"/>
      <c r="L10" s="5"/>
      <c r="M10" s="181"/>
      <c r="N10" s="182"/>
    </row>
    <row r="11" spans="1:14">
      <c r="A11" s="37">
        <v>1</v>
      </c>
      <c r="B11" s="37" t="s">
        <v>42</v>
      </c>
      <c r="C11" s="37"/>
      <c r="G11" s="3"/>
      <c r="H11" s="3"/>
      <c r="I11" s="3"/>
      <c r="L11" s="2"/>
      <c r="M11" s="2"/>
    </row>
    <row r="12" spans="1:14">
      <c r="A12" s="37">
        <v>2</v>
      </c>
      <c r="B12" s="39" t="s">
        <v>405</v>
      </c>
      <c r="C12" s="37"/>
      <c r="G12" s="3"/>
      <c r="H12" s="3"/>
      <c r="I12" s="3"/>
      <c r="L12" s="2"/>
      <c r="M12" s="2"/>
    </row>
    <row r="13" spans="1:14">
      <c r="A13" s="37"/>
      <c r="B13" s="130">
        <v>1</v>
      </c>
      <c r="C13" s="126" t="str">
        <f>VLOOKUP(B13,A11:B12,2,FALSE)</f>
        <v>Geen dakisolatie</v>
      </c>
      <c r="G13" s="3"/>
      <c r="H13" s="3"/>
      <c r="I13" s="3"/>
      <c r="L13" s="2"/>
      <c r="M13" s="2"/>
    </row>
    <row r="14" spans="1:14">
      <c r="A14" s="37"/>
      <c r="B14" s="34" t="s">
        <v>304</v>
      </c>
      <c r="C14" s="37"/>
      <c r="G14" s="3"/>
      <c r="H14" s="3"/>
      <c r="I14" s="3"/>
      <c r="L14" s="2"/>
      <c r="M14" s="2"/>
    </row>
    <row r="15" spans="1:14">
      <c r="A15" s="37">
        <v>1</v>
      </c>
      <c r="B15" s="37" t="s">
        <v>50</v>
      </c>
      <c r="C15" s="37"/>
      <c r="G15" s="3"/>
      <c r="H15" s="3"/>
      <c r="I15" s="3"/>
      <c r="L15" s="2"/>
      <c r="M15" s="2"/>
    </row>
    <row r="16" spans="1:14">
      <c r="A16" s="37">
        <v>2</v>
      </c>
      <c r="B16" s="37" t="s">
        <v>308</v>
      </c>
      <c r="C16" s="37"/>
      <c r="G16" s="3"/>
      <c r="H16" s="3"/>
      <c r="I16" s="3"/>
      <c r="L16" s="2"/>
      <c r="M16" s="2"/>
    </row>
    <row r="17" spans="1:13">
      <c r="A17" s="37">
        <v>3</v>
      </c>
      <c r="B17" s="125">
        <v>2024</v>
      </c>
      <c r="C17" s="37"/>
      <c r="G17" s="3"/>
      <c r="H17" s="3"/>
      <c r="I17" s="3"/>
      <c r="L17" s="2"/>
      <c r="M17" s="2"/>
    </row>
    <row r="18" spans="1:13">
      <c r="A18" s="37">
        <v>4</v>
      </c>
      <c r="B18" s="125">
        <v>2025</v>
      </c>
      <c r="C18" s="37"/>
      <c r="G18" s="3"/>
      <c r="H18" s="3"/>
      <c r="I18" s="3"/>
      <c r="L18" s="2"/>
      <c r="M18" s="2"/>
    </row>
    <row r="19" spans="1:13">
      <c r="A19" s="37"/>
      <c r="B19" s="132">
        <v>1</v>
      </c>
      <c r="C19" s="131" t="str">
        <f>VLOOKUP(B19,A15:B18,2,FALSE)</f>
        <v>Niet van toepassing</v>
      </c>
      <c r="G19" s="3"/>
      <c r="H19" s="3"/>
      <c r="I19" s="3"/>
      <c r="L19" s="2"/>
      <c r="M19" s="2"/>
    </row>
    <row r="20" spans="1:13">
      <c r="A20" s="37"/>
      <c r="B20" s="33" t="s">
        <v>360</v>
      </c>
      <c r="C20" s="126" t="str">
        <f>Hulpblad!C13&amp;" "&amp;Hulpblad!C19&amp;""</f>
        <v>Geen dakisolatie Niet van toepassing</v>
      </c>
      <c r="G20" s="3"/>
      <c r="H20" s="3"/>
      <c r="I20" s="3"/>
      <c r="L20" s="2"/>
      <c r="M20" s="2"/>
    </row>
    <row r="21" spans="1:13">
      <c r="A21" s="37"/>
      <c r="B21" s="125"/>
      <c r="C21" s="126"/>
      <c r="G21" s="3"/>
      <c r="H21" s="3"/>
      <c r="I21" s="3"/>
      <c r="L21" s="2"/>
      <c r="M21" s="2"/>
    </row>
    <row r="22" spans="1:13">
      <c r="A22" s="37"/>
      <c r="B22" s="33" t="s">
        <v>306</v>
      </c>
      <c r="C22" s="37"/>
      <c r="G22" s="3"/>
      <c r="H22" s="3"/>
      <c r="I22" s="3"/>
      <c r="L22" s="2"/>
      <c r="M22" s="2"/>
    </row>
    <row r="23" spans="1:13">
      <c r="A23" s="37">
        <v>1</v>
      </c>
      <c r="B23" s="39" t="s">
        <v>302</v>
      </c>
      <c r="C23" s="37"/>
      <c r="G23" s="3"/>
      <c r="H23" s="3"/>
      <c r="I23" s="3"/>
      <c r="L23" s="2"/>
      <c r="M23" s="2"/>
    </row>
    <row r="24" spans="1:13">
      <c r="A24" s="37">
        <v>2</v>
      </c>
      <c r="B24" s="37" t="s">
        <v>406</v>
      </c>
      <c r="C24" s="37"/>
      <c r="G24" s="3"/>
      <c r="H24" s="3"/>
      <c r="I24" s="3"/>
      <c r="L24" s="2"/>
      <c r="M24" s="2"/>
    </row>
    <row r="25" spans="1:13">
      <c r="A25" s="37"/>
      <c r="B25" s="126">
        <v>1</v>
      </c>
      <c r="C25" s="126" t="str">
        <f>VLOOKUP(B25,A23:B24,2,FALSE)</f>
        <v>Geen zolder- of vlieringisolatie</v>
      </c>
      <c r="G25" s="3"/>
      <c r="H25" s="3"/>
      <c r="I25" s="3"/>
      <c r="L25" s="2"/>
      <c r="M25" s="2"/>
    </row>
    <row r="26" spans="1:13">
      <c r="A26" s="37"/>
      <c r="B26" s="34" t="s">
        <v>307</v>
      </c>
      <c r="C26" s="37"/>
      <c r="G26" s="3"/>
      <c r="H26" s="3"/>
      <c r="I26" s="3"/>
      <c r="L26" s="2"/>
      <c r="M26" s="2"/>
    </row>
    <row r="27" spans="1:13">
      <c r="A27" s="37">
        <v>1</v>
      </c>
      <c r="B27" s="37" t="s">
        <v>50</v>
      </c>
      <c r="C27" s="37"/>
      <c r="G27" s="3"/>
      <c r="H27" s="3"/>
      <c r="I27" s="3"/>
      <c r="L27" s="2"/>
      <c r="M27" s="2"/>
    </row>
    <row r="28" spans="1:13">
      <c r="A28" s="37">
        <v>2</v>
      </c>
      <c r="B28" s="37" t="s">
        <v>308</v>
      </c>
      <c r="C28" s="37"/>
      <c r="G28" s="3"/>
      <c r="H28" s="3"/>
      <c r="I28" s="3"/>
      <c r="L28" s="2"/>
      <c r="M28" s="2"/>
    </row>
    <row r="29" spans="1:13">
      <c r="A29" s="37">
        <v>3</v>
      </c>
      <c r="B29" s="125">
        <v>2024</v>
      </c>
      <c r="C29" s="37"/>
      <c r="G29" s="3"/>
      <c r="H29" s="3"/>
      <c r="I29" s="3"/>
      <c r="L29" s="2"/>
      <c r="M29" s="2"/>
    </row>
    <row r="30" spans="1:13">
      <c r="A30" s="37">
        <v>4</v>
      </c>
      <c r="B30" s="125">
        <v>2025</v>
      </c>
      <c r="C30" s="37"/>
      <c r="G30" s="3"/>
      <c r="H30" s="3"/>
      <c r="I30" s="3"/>
      <c r="L30" s="2"/>
      <c r="M30" s="2"/>
    </row>
    <row r="31" spans="1:13">
      <c r="A31" s="37"/>
      <c r="B31" s="132">
        <v>1</v>
      </c>
      <c r="C31" s="131" t="str">
        <f>VLOOKUP(B31,A27:B30,2,FALSE)</f>
        <v>Niet van toepassing</v>
      </c>
      <c r="G31" s="3"/>
      <c r="H31" s="3"/>
      <c r="I31" s="3"/>
      <c r="L31" s="2"/>
      <c r="M31" s="2"/>
    </row>
    <row r="32" spans="1:13">
      <c r="A32" s="37"/>
      <c r="B32" s="33" t="s">
        <v>361</v>
      </c>
      <c r="C32" s="126" t="str">
        <f>Hulpblad!C25&amp;" "&amp;Hulpblad!C31&amp;""</f>
        <v>Geen zolder- of vlieringisolatie Niet van toepassing</v>
      </c>
      <c r="G32" s="3"/>
      <c r="H32" s="3"/>
      <c r="I32" s="3"/>
      <c r="L32" s="2"/>
      <c r="M32" s="2"/>
    </row>
    <row r="33" spans="1:13">
      <c r="A33" s="37"/>
      <c r="B33" s="126"/>
      <c r="C33" s="131"/>
      <c r="E33" s="6"/>
      <c r="F33" s="6"/>
      <c r="G33" s="2"/>
      <c r="H33" s="6"/>
      <c r="I33" s="3"/>
      <c r="L33" s="2"/>
      <c r="M33" s="2"/>
    </row>
    <row r="34" spans="1:13">
      <c r="A34" s="37"/>
      <c r="B34" s="33" t="s">
        <v>58</v>
      </c>
      <c r="C34" s="37"/>
      <c r="E34" s="1"/>
      <c r="G34" s="3"/>
      <c r="H34" s="3"/>
      <c r="I34" s="3"/>
      <c r="L34" s="2"/>
      <c r="M34" s="2"/>
    </row>
    <row r="35" spans="1:13">
      <c r="A35" s="37">
        <v>1</v>
      </c>
      <c r="B35" s="39" t="s">
        <v>43</v>
      </c>
      <c r="C35" s="39"/>
      <c r="G35" s="3"/>
      <c r="H35" s="3"/>
      <c r="I35" s="3"/>
      <c r="L35" s="2"/>
      <c r="M35" s="2"/>
    </row>
    <row r="36" spans="1:13">
      <c r="A36" s="37">
        <v>2</v>
      </c>
      <c r="B36" s="39" t="s">
        <v>407</v>
      </c>
      <c r="C36" s="39"/>
      <c r="G36" s="3"/>
      <c r="H36" s="3"/>
      <c r="I36" s="3"/>
      <c r="L36" s="2"/>
      <c r="M36" s="2"/>
    </row>
    <row r="37" spans="1:13">
      <c r="A37" s="37"/>
      <c r="B37" s="126">
        <v>1</v>
      </c>
      <c r="C37" s="126" t="str">
        <f>VLOOKUP(B37,A35:B36,2,FALSE)</f>
        <v>Geen gevelisolatie</v>
      </c>
      <c r="G37" s="3"/>
      <c r="H37" s="3"/>
      <c r="I37" s="3"/>
      <c r="L37" s="2"/>
      <c r="M37" s="2"/>
    </row>
    <row r="38" spans="1:13">
      <c r="A38" s="37"/>
      <c r="B38" s="34" t="s">
        <v>362</v>
      </c>
      <c r="C38" s="126"/>
      <c r="G38" s="3"/>
      <c r="H38" s="3"/>
      <c r="I38" s="3"/>
      <c r="L38" s="2"/>
      <c r="M38" s="2"/>
    </row>
    <row r="39" spans="1:13">
      <c r="A39" s="37">
        <v>1</v>
      </c>
      <c r="B39" s="37" t="s">
        <v>50</v>
      </c>
      <c r="C39" s="126"/>
      <c r="G39" s="3"/>
      <c r="H39" s="3"/>
      <c r="I39" s="3"/>
      <c r="L39" s="2"/>
      <c r="M39" s="2"/>
    </row>
    <row r="40" spans="1:13">
      <c r="A40" s="37">
        <v>2</v>
      </c>
      <c r="B40" s="37" t="s">
        <v>308</v>
      </c>
      <c r="C40" s="126"/>
      <c r="G40" s="3"/>
      <c r="H40" s="3"/>
      <c r="I40" s="3"/>
      <c r="L40" s="2"/>
      <c r="M40" s="2"/>
    </row>
    <row r="41" spans="1:13">
      <c r="A41" s="37">
        <v>3</v>
      </c>
      <c r="B41" s="125">
        <v>2024</v>
      </c>
      <c r="C41" s="126"/>
      <c r="G41" s="3"/>
      <c r="H41" s="3"/>
      <c r="I41" s="3"/>
      <c r="L41" s="2"/>
      <c r="M41" s="2"/>
    </row>
    <row r="42" spans="1:13">
      <c r="A42" s="37">
        <v>4</v>
      </c>
      <c r="B42" s="125">
        <v>2025</v>
      </c>
      <c r="C42" s="126"/>
      <c r="G42" s="3"/>
      <c r="H42" s="3"/>
      <c r="I42" s="3"/>
      <c r="L42" s="2"/>
      <c r="M42" s="2"/>
    </row>
    <row r="43" spans="1:13">
      <c r="A43" s="37"/>
      <c r="B43" s="132">
        <v>1</v>
      </c>
      <c r="C43" s="131" t="str">
        <f>VLOOKUP(B43,A39:B42,2,FALSE)</f>
        <v>Niet van toepassing</v>
      </c>
      <c r="G43" s="3"/>
      <c r="H43" s="3"/>
      <c r="I43" s="3"/>
      <c r="L43" s="2"/>
      <c r="M43" s="2"/>
    </row>
    <row r="44" spans="1:13">
      <c r="A44" s="37"/>
      <c r="B44" s="33" t="s">
        <v>363</v>
      </c>
      <c r="C44" s="126" t="str">
        <f>Hulpblad!C37&amp;" "&amp;Hulpblad!C43&amp;""</f>
        <v>Geen gevelisolatie Niet van toepassing</v>
      </c>
      <c r="G44" s="3"/>
      <c r="H44" s="3"/>
      <c r="I44" s="3"/>
      <c r="L44" s="2"/>
      <c r="M44" s="2"/>
    </row>
    <row r="45" spans="1:13">
      <c r="A45" s="37"/>
      <c r="B45" s="126"/>
      <c r="C45" s="126"/>
      <c r="E45" s="6"/>
      <c r="F45" s="6"/>
      <c r="G45" s="3"/>
      <c r="H45" s="3"/>
      <c r="I45" s="3"/>
      <c r="L45" s="2"/>
      <c r="M45" s="2"/>
    </row>
    <row r="46" spans="1:13">
      <c r="A46" s="37"/>
      <c r="B46" s="33" t="s">
        <v>59</v>
      </c>
      <c r="C46" s="37"/>
      <c r="E46" s="1"/>
      <c r="G46" s="3"/>
      <c r="H46" s="3"/>
      <c r="I46" s="3"/>
      <c r="L46" s="2"/>
      <c r="M46" s="2"/>
    </row>
    <row r="47" spans="1:13">
      <c r="A47" s="37">
        <v>1</v>
      </c>
      <c r="B47" s="39" t="s">
        <v>44</v>
      </c>
      <c r="C47" s="39"/>
      <c r="G47" s="3"/>
      <c r="H47" s="3"/>
      <c r="I47" s="3"/>
      <c r="L47" s="2"/>
      <c r="M47" s="2"/>
    </row>
    <row r="48" spans="1:13">
      <c r="A48" s="37">
        <v>2</v>
      </c>
      <c r="B48" s="39" t="s">
        <v>408</v>
      </c>
      <c r="C48" s="39"/>
      <c r="G48" s="3"/>
      <c r="H48" s="3"/>
      <c r="I48" s="3"/>
      <c r="L48" s="2"/>
      <c r="M48" s="2"/>
    </row>
    <row r="49" spans="1:13">
      <c r="A49" s="37"/>
      <c r="B49" s="126">
        <v>1</v>
      </c>
      <c r="C49" s="126" t="str">
        <f>VLOOKUP(B49,A47:B48,2,FALSE)</f>
        <v>Geen spouwmuurisolatie</v>
      </c>
      <c r="G49" s="3"/>
      <c r="H49" s="3"/>
      <c r="I49" s="3"/>
      <c r="L49" s="2"/>
      <c r="M49" s="2"/>
    </row>
    <row r="50" spans="1:13">
      <c r="A50" s="37"/>
      <c r="B50" s="34" t="s">
        <v>364</v>
      </c>
      <c r="C50" s="126"/>
      <c r="G50" s="3"/>
      <c r="H50" s="3"/>
      <c r="I50" s="3"/>
      <c r="L50" s="2"/>
      <c r="M50" s="2"/>
    </row>
    <row r="51" spans="1:13">
      <c r="A51" s="37">
        <v>1</v>
      </c>
      <c r="B51" s="37" t="s">
        <v>50</v>
      </c>
      <c r="C51" s="126"/>
      <c r="G51" s="3"/>
      <c r="H51" s="3"/>
      <c r="I51" s="3"/>
      <c r="L51" s="2"/>
      <c r="M51" s="2"/>
    </row>
    <row r="52" spans="1:13">
      <c r="A52" s="37">
        <v>2</v>
      </c>
      <c r="B52" s="37" t="s">
        <v>308</v>
      </c>
      <c r="C52" s="126"/>
      <c r="G52" s="3"/>
      <c r="H52" s="3"/>
      <c r="I52" s="3"/>
      <c r="L52" s="2"/>
      <c r="M52" s="2"/>
    </row>
    <row r="53" spans="1:13">
      <c r="A53" s="37">
        <v>3</v>
      </c>
      <c r="B53" s="125">
        <v>2024</v>
      </c>
      <c r="C53" s="126"/>
      <c r="G53" s="3"/>
      <c r="H53" s="3"/>
      <c r="I53" s="3"/>
      <c r="L53" s="2"/>
      <c r="M53" s="2"/>
    </row>
    <row r="54" spans="1:13">
      <c r="A54" s="37">
        <v>4</v>
      </c>
      <c r="B54" s="125">
        <v>2025</v>
      </c>
      <c r="C54" s="126"/>
      <c r="G54" s="3"/>
      <c r="H54" s="3"/>
      <c r="I54" s="3"/>
      <c r="L54" s="2"/>
      <c r="M54" s="2"/>
    </row>
    <row r="55" spans="1:13">
      <c r="A55" s="37"/>
      <c r="B55" s="132">
        <v>1</v>
      </c>
      <c r="C55" s="131" t="str">
        <f>VLOOKUP(B55,A51:B54,2,FALSE)</f>
        <v>Niet van toepassing</v>
      </c>
      <c r="G55" s="3"/>
      <c r="H55" s="3"/>
      <c r="I55" s="3"/>
      <c r="L55" s="2"/>
      <c r="M55" s="2"/>
    </row>
    <row r="56" spans="1:13">
      <c r="A56" s="37"/>
      <c r="B56" s="33" t="s">
        <v>365</v>
      </c>
      <c r="C56" s="126" t="str">
        <f>Hulpblad!C49&amp;" "&amp;Hulpblad!C55&amp;""</f>
        <v>Geen spouwmuurisolatie Niet van toepassing</v>
      </c>
      <c r="G56" s="3"/>
      <c r="H56" s="3"/>
      <c r="I56" s="3"/>
      <c r="L56" s="2"/>
      <c r="M56" s="2"/>
    </row>
    <row r="57" spans="1:13">
      <c r="A57" s="37"/>
      <c r="B57" s="126"/>
      <c r="C57" s="126"/>
      <c r="E57" s="6"/>
      <c r="F57" s="6"/>
      <c r="G57" s="3"/>
      <c r="H57" s="3"/>
      <c r="I57" s="3"/>
      <c r="L57" s="2"/>
      <c r="M57" s="2"/>
    </row>
    <row r="58" spans="1:13">
      <c r="A58" s="37"/>
      <c r="B58" s="33" t="s">
        <v>60</v>
      </c>
      <c r="C58" s="37"/>
      <c r="E58" s="1"/>
      <c r="G58" s="3"/>
      <c r="H58" s="3"/>
      <c r="I58" s="3"/>
      <c r="L58" s="2"/>
      <c r="M58" s="2"/>
    </row>
    <row r="59" spans="1:13">
      <c r="A59" s="37">
        <v>1</v>
      </c>
      <c r="B59" s="39" t="s">
        <v>45</v>
      </c>
      <c r="C59" s="39"/>
      <c r="G59" s="3"/>
      <c r="H59" s="3"/>
      <c r="I59" s="3"/>
      <c r="L59" s="2"/>
      <c r="M59" s="2"/>
    </row>
    <row r="60" spans="1:13">
      <c r="A60" s="37">
        <v>2</v>
      </c>
      <c r="B60" s="39" t="s">
        <v>409</v>
      </c>
      <c r="C60" s="39"/>
      <c r="G60" s="3"/>
      <c r="H60" s="3"/>
      <c r="I60" s="3"/>
      <c r="L60" s="2"/>
      <c r="M60" s="2"/>
    </row>
    <row r="61" spans="1:13">
      <c r="A61" s="37"/>
      <c r="B61" s="126">
        <v>1</v>
      </c>
      <c r="C61" s="126" t="str">
        <f>VLOOKUP(B61,A59:B60,2,FALSE)</f>
        <v>Geen vloerisolatie</v>
      </c>
      <c r="G61" s="3"/>
      <c r="H61" s="3"/>
      <c r="I61" s="3"/>
      <c r="L61" s="2"/>
      <c r="M61" s="2"/>
    </row>
    <row r="62" spans="1:13">
      <c r="A62" s="37"/>
      <c r="B62" s="34" t="s">
        <v>420</v>
      </c>
      <c r="C62" s="39"/>
      <c r="G62" s="3"/>
      <c r="H62" s="3"/>
      <c r="I62" s="3"/>
      <c r="L62" s="2"/>
      <c r="M62" s="2"/>
    </row>
    <row r="63" spans="1:13">
      <c r="A63" s="37">
        <v>1</v>
      </c>
      <c r="B63" s="37" t="s">
        <v>50</v>
      </c>
      <c r="C63" s="39"/>
      <c r="G63" s="3"/>
      <c r="H63" s="3"/>
      <c r="I63" s="3"/>
      <c r="L63" s="2"/>
      <c r="M63" s="2"/>
    </row>
    <row r="64" spans="1:13">
      <c r="A64" s="37">
        <v>2</v>
      </c>
      <c r="B64" s="127" t="s">
        <v>308</v>
      </c>
      <c r="C64" s="39"/>
      <c r="G64" s="3"/>
      <c r="H64" s="3"/>
      <c r="I64" s="3"/>
      <c r="L64" s="2"/>
      <c r="M64" s="2"/>
    </row>
    <row r="65" spans="1:13">
      <c r="A65" s="37">
        <v>3</v>
      </c>
      <c r="B65" s="125">
        <v>2024</v>
      </c>
      <c r="C65" s="39"/>
      <c r="G65" s="3"/>
      <c r="H65" s="3"/>
      <c r="I65" s="3"/>
      <c r="L65" s="2"/>
      <c r="M65" s="2"/>
    </row>
    <row r="66" spans="1:13">
      <c r="A66" s="37">
        <v>4</v>
      </c>
      <c r="B66" s="125">
        <v>2025</v>
      </c>
      <c r="C66" s="39"/>
      <c r="G66" s="3"/>
      <c r="H66" s="3"/>
      <c r="I66" s="3"/>
      <c r="L66" s="2"/>
      <c r="M66" s="2"/>
    </row>
    <row r="67" spans="1:13">
      <c r="A67" s="37"/>
      <c r="B67" s="132">
        <v>1</v>
      </c>
      <c r="C67" s="131" t="str">
        <f>VLOOKUP(B67,A63:B66,2,FALSE)</f>
        <v>Niet van toepassing</v>
      </c>
      <c r="G67" s="3"/>
      <c r="H67" s="3"/>
      <c r="I67" s="3"/>
      <c r="L67" s="2"/>
      <c r="M67" s="2"/>
    </row>
    <row r="68" spans="1:13">
      <c r="A68" s="37"/>
      <c r="B68" s="33" t="s">
        <v>421</v>
      </c>
      <c r="C68" s="126" t="str">
        <f>Hulpblad!C61&amp;" "&amp;Hulpblad!C67&amp;""</f>
        <v>Geen vloerisolatie Niet van toepassing</v>
      </c>
      <c r="G68" s="3"/>
      <c r="H68" s="3"/>
      <c r="I68" s="3"/>
      <c r="L68" s="2"/>
      <c r="M68" s="2"/>
    </row>
    <row r="69" spans="1:13">
      <c r="A69" s="37"/>
      <c r="B69" s="33"/>
      <c r="C69" s="39"/>
      <c r="G69" s="3"/>
      <c r="H69" s="3"/>
      <c r="I69" s="3"/>
      <c r="L69" s="2"/>
      <c r="M69" s="2"/>
    </row>
    <row r="70" spans="1:13">
      <c r="A70" s="37"/>
      <c r="B70" s="33" t="s">
        <v>366</v>
      </c>
      <c r="C70" s="39"/>
      <c r="G70" s="3"/>
      <c r="H70" s="3"/>
      <c r="I70" s="3"/>
      <c r="L70" s="2"/>
      <c r="M70" s="2"/>
    </row>
    <row r="71" spans="1:13">
      <c r="A71" s="37">
        <v>1</v>
      </c>
      <c r="B71" s="125" t="s">
        <v>367</v>
      </c>
      <c r="C71" s="39"/>
      <c r="G71" s="3"/>
      <c r="H71" s="3"/>
      <c r="I71" s="3"/>
      <c r="L71" s="2"/>
      <c r="M71" s="2"/>
    </row>
    <row r="72" spans="1:13">
      <c r="A72" s="37">
        <v>2</v>
      </c>
      <c r="B72" s="39" t="s">
        <v>410</v>
      </c>
      <c r="C72" s="39"/>
      <c r="G72" s="3"/>
      <c r="H72" s="3"/>
      <c r="I72" s="31"/>
      <c r="L72" s="2"/>
      <c r="M72" s="2"/>
    </row>
    <row r="73" spans="1:13">
      <c r="A73" s="37"/>
      <c r="B73" s="126">
        <v>1</v>
      </c>
      <c r="C73" s="126" t="str">
        <f>VLOOKUP(B73,A71:B72,2,FALSE)</f>
        <v>Geen bodemisolatie</v>
      </c>
      <c r="G73" s="3"/>
      <c r="H73" s="3"/>
      <c r="I73" s="31"/>
      <c r="L73" s="2"/>
      <c r="M73" s="2"/>
    </row>
    <row r="74" spans="1:13">
      <c r="A74" s="37"/>
      <c r="B74" s="34" t="s">
        <v>422</v>
      </c>
      <c r="C74" s="39"/>
      <c r="G74" s="3"/>
      <c r="H74" s="3"/>
      <c r="I74" s="31"/>
      <c r="L74" s="2"/>
      <c r="M74" s="2"/>
    </row>
    <row r="75" spans="1:13">
      <c r="A75" s="37">
        <v>1</v>
      </c>
      <c r="B75" s="37" t="s">
        <v>50</v>
      </c>
      <c r="C75" s="39"/>
      <c r="G75" s="3"/>
      <c r="H75" s="3"/>
      <c r="I75" s="31"/>
      <c r="L75" s="2"/>
      <c r="M75" s="2"/>
    </row>
    <row r="76" spans="1:13">
      <c r="A76" s="37">
        <v>2</v>
      </c>
      <c r="B76" s="127" t="s">
        <v>308</v>
      </c>
      <c r="C76" s="39"/>
      <c r="G76" s="3"/>
      <c r="H76" s="3"/>
      <c r="I76" s="31"/>
      <c r="L76" s="2"/>
      <c r="M76" s="2"/>
    </row>
    <row r="77" spans="1:13">
      <c r="A77" s="37">
        <v>3</v>
      </c>
      <c r="B77" s="125">
        <v>2024</v>
      </c>
      <c r="C77" s="39"/>
      <c r="G77" s="3"/>
      <c r="H77" s="3"/>
      <c r="I77" s="31"/>
      <c r="L77" s="2"/>
      <c r="M77" s="2"/>
    </row>
    <row r="78" spans="1:13">
      <c r="A78" s="37">
        <v>4</v>
      </c>
      <c r="B78" s="125">
        <v>2025</v>
      </c>
      <c r="C78" s="39"/>
      <c r="G78" s="3"/>
      <c r="H78" s="3"/>
      <c r="I78" s="31"/>
      <c r="L78" s="2"/>
      <c r="M78" s="2"/>
    </row>
    <row r="79" spans="1:13">
      <c r="A79" s="37"/>
      <c r="B79" s="132">
        <v>1</v>
      </c>
      <c r="C79" s="131" t="str">
        <f>VLOOKUP(B79,A75:B78,2,FALSE)</f>
        <v>Niet van toepassing</v>
      </c>
      <c r="G79" s="3"/>
      <c r="H79" s="3"/>
      <c r="I79" s="31"/>
      <c r="L79" s="2"/>
      <c r="M79" s="2"/>
    </row>
    <row r="80" spans="1:13">
      <c r="A80" s="37"/>
      <c r="B80" s="33" t="s">
        <v>414</v>
      </c>
      <c r="C80" s="126" t="str">
        <f>Hulpblad!C73&amp;" "&amp;Hulpblad!C79&amp;""</f>
        <v>Geen bodemisolatie Niet van toepassing</v>
      </c>
      <c r="G80" s="3"/>
      <c r="H80" s="3"/>
      <c r="I80" s="31"/>
      <c r="L80" s="2"/>
      <c r="M80" s="2"/>
    </row>
    <row r="81" spans="1:13">
      <c r="A81" s="37"/>
      <c r="B81" s="39"/>
      <c r="C81" s="39"/>
      <c r="G81" s="3"/>
      <c r="H81" s="3"/>
      <c r="I81" s="31"/>
      <c r="L81" s="2"/>
      <c r="M81" s="2"/>
    </row>
    <row r="82" spans="1:13">
      <c r="A82" s="37"/>
      <c r="B82" s="37"/>
      <c r="C82" s="37"/>
      <c r="D82" s="2"/>
    </row>
    <row r="83" spans="1:13">
      <c r="A83" s="37"/>
      <c r="B83" s="33" t="s">
        <v>85</v>
      </c>
      <c r="C83" s="126"/>
      <c r="D83" s="2"/>
      <c r="E83" s="2"/>
      <c r="F83" s="2"/>
    </row>
    <row r="84" spans="1:13">
      <c r="A84" s="37"/>
      <c r="B84" s="126" t="b">
        <v>0</v>
      </c>
      <c r="C84" s="126" t="s">
        <v>86</v>
      </c>
      <c r="D84" s="2"/>
      <c r="E84" s="2"/>
      <c r="F84" s="2"/>
    </row>
    <row r="85" spans="1:13">
      <c r="A85" s="37"/>
      <c r="B85" s="126" t="b">
        <v>0</v>
      </c>
      <c r="C85" s="126" t="s">
        <v>425</v>
      </c>
      <c r="D85" s="2"/>
      <c r="E85" s="2"/>
      <c r="F85" s="2"/>
    </row>
    <row r="86" spans="1:13">
      <c r="A86" s="37"/>
      <c r="B86" s="126" t="b">
        <v>0</v>
      </c>
      <c r="C86" s="126" t="s">
        <v>87</v>
      </c>
      <c r="D86" s="2"/>
      <c r="E86" s="2"/>
      <c r="F86" s="2"/>
    </row>
    <row r="87" spans="1:13">
      <c r="A87" s="37"/>
      <c r="B87" s="126" t="b">
        <v>0</v>
      </c>
      <c r="C87" s="126" t="s">
        <v>88</v>
      </c>
      <c r="D87" s="2"/>
      <c r="E87" s="2"/>
      <c r="F87" s="2"/>
    </row>
    <row r="88" spans="1:13">
      <c r="A88" s="37"/>
      <c r="B88" s="126" t="b">
        <v>0</v>
      </c>
      <c r="C88" s="126" t="s">
        <v>89</v>
      </c>
      <c r="D88" s="2"/>
      <c r="E88" s="2"/>
      <c r="F88" s="2"/>
    </row>
    <row r="89" spans="1:13">
      <c r="A89" s="37"/>
      <c r="B89" s="126" t="b">
        <v>0</v>
      </c>
      <c r="C89" s="126" t="s">
        <v>426</v>
      </c>
      <c r="D89" s="2"/>
      <c r="E89" s="2"/>
      <c r="F89" s="2"/>
    </row>
    <row r="90" spans="1:13">
      <c r="A90" s="37"/>
      <c r="B90" s="33" t="s">
        <v>7</v>
      </c>
      <c r="C90" s="39"/>
      <c r="F90" s="2"/>
    </row>
    <row r="91" spans="1:13">
      <c r="A91" s="37">
        <v>1</v>
      </c>
      <c r="B91" s="39" t="s">
        <v>46</v>
      </c>
      <c r="C91" s="39"/>
      <c r="D91" s="37"/>
      <c r="F91" s="2"/>
    </row>
    <row r="92" spans="1:13">
      <c r="A92" s="37">
        <v>2</v>
      </c>
      <c r="B92" s="39" t="s">
        <v>62</v>
      </c>
      <c r="C92" s="39"/>
      <c r="D92" s="37"/>
      <c r="F92" s="2"/>
    </row>
    <row r="93" spans="1:13">
      <c r="A93" s="37"/>
      <c r="B93" s="126">
        <v>1</v>
      </c>
      <c r="C93" s="126" t="str">
        <f>VLOOKUP(B93,A91:B92,2,FALSE)</f>
        <v>Geen glasisolatie</v>
      </c>
      <c r="D93" s="37"/>
      <c r="F93" s="2"/>
    </row>
    <row r="94" spans="1:13">
      <c r="A94" s="37"/>
      <c r="B94" s="33"/>
      <c r="C94" s="39"/>
      <c r="D94" s="37"/>
      <c r="F94" s="2"/>
    </row>
    <row r="95" spans="1:13">
      <c r="A95" s="37"/>
      <c r="B95" s="33" t="s">
        <v>438</v>
      </c>
      <c r="C95" s="39"/>
      <c r="D95" s="37"/>
      <c r="F95" s="2"/>
    </row>
    <row r="96" spans="1:13">
      <c r="A96" s="37">
        <v>1</v>
      </c>
      <c r="B96" s="39" t="s">
        <v>440</v>
      </c>
      <c r="C96" s="39"/>
      <c r="D96" s="37"/>
      <c r="F96" s="2"/>
    </row>
    <row r="97" spans="1:6">
      <c r="A97" s="37">
        <v>2</v>
      </c>
      <c r="B97" s="39" t="s">
        <v>149</v>
      </c>
      <c r="C97" s="39"/>
      <c r="D97" s="37"/>
      <c r="F97" s="2"/>
    </row>
    <row r="98" spans="1:6">
      <c r="A98" s="37"/>
      <c r="B98" s="126">
        <v>1</v>
      </c>
      <c r="C98" s="126" t="str">
        <f>VLOOKUP(B98,A96:B97,2,FALSE)</f>
        <v>Geen HR++ glas</v>
      </c>
      <c r="D98" s="37"/>
      <c r="F98" s="2"/>
    </row>
    <row r="99" spans="1:6">
      <c r="A99" s="37"/>
      <c r="B99" s="34" t="s">
        <v>439</v>
      </c>
      <c r="C99" s="39"/>
      <c r="D99" s="37"/>
      <c r="F99" s="2"/>
    </row>
    <row r="100" spans="1:6">
      <c r="A100" s="37">
        <v>1</v>
      </c>
      <c r="B100" s="127" t="s">
        <v>436</v>
      </c>
      <c r="C100" s="126" t="b">
        <v>0</v>
      </c>
      <c r="D100" s="126" t="b">
        <f>IF(C100=TRUE,B100,C100)</f>
        <v>0</v>
      </c>
      <c r="F100" s="2"/>
    </row>
    <row r="101" spans="1:6">
      <c r="A101" s="37">
        <v>2</v>
      </c>
      <c r="B101" s="127">
        <v>2025</v>
      </c>
      <c r="C101" s="126" t="b">
        <v>0</v>
      </c>
      <c r="D101" s="131" t="b">
        <f>IF(C101=TRUE,B101,C101)</f>
        <v>0</v>
      </c>
      <c r="F101" s="2"/>
    </row>
    <row r="102" spans="1:6">
      <c r="A102" s="37"/>
      <c r="B102" s="125"/>
      <c r="C102" s="39"/>
      <c r="D102" s="37"/>
      <c r="F102" s="2"/>
    </row>
    <row r="103" spans="1:6">
      <c r="A103" s="37"/>
      <c r="B103" s="33" t="s">
        <v>441</v>
      </c>
      <c r="C103" s="39"/>
      <c r="D103" s="37"/>
      <c r="F103" s="2"/>
    </row>
    <row r="104" spans="1:6">
      <c r="A104" s="37">
        <v>1</v>
      </c>
      <c r="B104" s="127" t="s">
        <v>436</v>
      </c>
      <c r="C104" s="126" t="str">
        <f>Hulpblad!C98&amp;" "&amp;Hulpblad!D100&amp;""</f>
        <v>Geen HR++ glas ONWAAR</v>
      </c>
      <c r="D104" s="37"/>
      <c r="F104" s="2"/>
    </row>
    <row r="105" spans="1:6">
      <c r="A105" s="37">
        <v>2</v>
      </c>
      <c r="B105" s="127">
        <v>2025</v>
      </c>
      <c r="C105" s="126" t="str">
        <f>Hulpblad!C98&amp;" "&amp;Hulpblad!D101&amp;""</f>
        <v>Geen HR++ glas ONWAAR</v>
      </c>
      <c r="D105" s="37"/>
      <c r="F105" s="2"/>
    </row>
    <row r="106" spans="1:6">
      <c r="A106" s="37"/>
      <c r="B106" s="33"/>
      <c r="C106" s="39"/>
      <c r="D106" s="37"/>
      <c r="F106" s="2"/>
    </row>
    <row r="107" spans="1:6">
      <c r="A107" s="37"/>
      <c r="B107" s="33" t="s">
        <v>459</v>
      </c>
      <c r="C107" s="39"/>
      <c r="D107" s="37"/>
      <c r="F107" s="2"/>
    </row>
    <row r="108" spans="1:6">
      <c r="A108" s="37">
        <v>1</v>
      </c>
      <c r="B108" s="39" t="s">
        <v>452</v>
      </c>
      <c r="C108" s="39"/>
      <c r="D108" s="37"/>
      <c r="F108" s="2"/>
    </row>
    <row r="109" spans="1:6">
      <c r="A109" s="37">
        <v>2</v>
      </c>
      <c r="B109" s="39" t="s">
        <v>150</v>
      </c>
      <c r="C109" s="39"/>
      <c r="D109" s="37"/>
      <c r="F109" s="2"/>
    </row>
    <row r="110" spans="1:6">
      <c r="A110" s="37"/>
      <c r="B110" s="126">
        <v>1</v>
      </c>
      <c r="C110" s="126" t="str">
        <f>VLOOKUP(B110,A108:B109,2,FALSE)</f>
        <v>Geen Triple glas</v>
      </c>
      <c r="D110" s="37"/>
      <c r="F110" s="2"/>
    </row>
    <row r="111" spans="1:6">
      <c r="A111" s="37"/>
      <c r="B111" s="34" t="s">
        <v>460</v>
      </c>
      <c r="C111" s="39"/>
      <c r="D111" s="37"/>
      <c r="F111" s="2"/>
    </row>
    <row r="112" spans="1:6">
      <c r="A112" s="37">
        <v>1</v>
      </c>
      <c r="B112" s="127" t="s">
        <v>436</v>
      </c>
      <c r="C112" s="126" t="b">
        <v>0</v>
      </c>
      <c r="D112" s="126" t="b">
        <f>IF(C112=TRUE,B112,C112)</f>
        <v>0</v>
      </c>
      <c r="F112" s="2"/>
    </row>
    <row r="113" spans="1:6">
      <c r="A113" s="37">
        <v>2</v>
      </c>
      <c r="B113" s="127">
        <v>2025</v>
      </c>
      <c r="C113" s="126" t="b">
        <v>0</v>
      </c>
      <c r="D113" s="131" t="b">
        <f>IF(C113=TRUE,B113,C113)</f>
        <v>0</v>
      </c>
      <c r="F113" s="2"/>
    </row>
    <row r="114" spans="1:6">
      <c r="A114" s="37"/>
      <c r="B114" s="125"/>
      <c r="C114" s="39"/>
      <c r="D114" s="37"/>
      <c r="F114" s="2"/>
    </row>
    <row r="115" spans="1:6">
      <c r="A115" s="37"/>
      <c r="B115" s="33" t="s">
        <v>461</v>
      </c>
      <c r="C115" s="39"/>
      <c r="D115" s="37"/>
      <c r="F115" s="2"/>
    </row>
    <row r="116" spans="1:6">
      <c r="A116" s="37">
        <v>1</v>
      </c>
      <c r="B116" s="127" t="s">
        <v>436</v>
      </c>
      <c r="C116" s="126" t="str">
        <f>Hulpblad!C110&amp;" "&amp;Hulpblad!D112&amp;""</f>
        <v>Geen Triple glas ONWAAR</v>
      </c>
      <c r="D116" s="37"/>
      <c r="F116" s="2"/>
    </row>
    <row r="117" spans="1:6">
      <c r="A117" s="37">
        <v>2</v>
      </c>
      <c r="B117" s="127">
        <v>2025</v>
      </c>
      <c r="C117" s="126" t="str">
        <f>Hulpblad!C110&amp;" "&amp;Hulpblad!D113&amp;""</f>
        <v>Geen Triple glas ONWAAR</v>
      </c>
      <c r="D117" s="37"/>
      <c r="F117" s="2"/>
    </row>
    <row r="118" spans="1:6">
      <c r="A118" s="37"/>
      <c r="B118" s="33"/>
      <c r="C118" s="39"/>
      <c r="D118" s="37"/>
      <c r="F118" s="2"/>
    </row>
    <row r="119" spans="1:6">
      <c r="A119" s="37"/>
      <c r="B119" s="33" t="s">
        <v>470</v>
      </c>
      <c r="C119" s="39"/>
      <c r="D119" s="37"/>
      <c r="F119" s="2"/>
    </row>
    <row r="120" spans="1:6">
      <c r="A120" s="37">
        <v>1</v>
      </c>
      <c r="B120" s="39" t="s">
        <v>468</v>
      </c>
      <c r="C120" s="39"/>
      <c r="D120" s="37"/>
      <c r="F120" s="2"/>
    </row>
    <row r="121" spans="1:6">
      <c r="A121" s="37">
        <v>2</v>
      </c>
      <c r="B121" s="39" t="s">
        <v>469</v>
      </c>
      <c r="C121" s="39"/>
      <c r="D121" s="37"/>
      <c r="F121" s="2"/>
    </row>
    <row r="122" spans="1:6">
      <c r="A122" s="37"/>
      <c r="B122" s="126">
        <v>1</v>
      </c>
      <c r="C122" s="126" t="str">
        <f>VLOOKUP(B122,A120:B121,2,FALSE)</f>
        <v>Geen Isolerende panelen, U ≤ 1,2 W/m2K</v>
      </c>
      <c r="D122" s="37"/>
      <c r="F122" s="2"/>
    </row>
    <row r="123" spans="1:6">
      <c r="A123" s="37"/>
      <c r="B123" s="34" t="s">
        <v>471</v>
      </c>
      <c r="C123" s="39"/>
      <c r="D123" s="37"/>
      <c r="F123" s="2"/>
    </row>
    <row r="124" spans="1:6">
      <c r="A124" s="37">
        <v>1</v>
      </c>
      <c r="B124" s="127" t="s">
        <v>436</v>
      </c>
      <c r="C124" s="126" t="b">
        <v>0</v>
      </c>
      <c r="D124" s="126" t="b">
        <f>IF(C124=TRUE,B124,C124)</f>
        <v>0</v>
      </c>
      <c r="F124" s="2"/>
    </row>
    <row r="125" spans="1:6">
      <c r="A125" s="37">
        <v>2</v>
      </c>
      <c r="B125" s="127">
        <v>2025</v>
      </c>
      <c r="C125" s="126" t="b">
        <v>0</v>
      </c>
      <c r="D125" s="131" t="b">
        <f>IF(C125=TRUE,B125,C125)</f>
        <v>0</v>
      </c>
      <c r="F125" s="2"/>
    </row>
    <row r="126" spans="1:6">
      <c r="A126" s="37"/>
      <c r="B126" s="125"/>
      <c r="C126" s="39"/>
      <c r="D126" s="37"/>
      <c r="F126" s="2"/>
    </row>
    <row r="127" spans="1:6">
      <c r="A127" s="37"/>
      <c r="B127" s="33" t="s">
        <v>489</v>
      </c>
      <c r="C127" s="39"/>
      <c r="D127" s="37"/>
      <c r="F127" s="2"/>
    </row>
    <row r="128" spans="1:6">
      <c r="A128" s="37">
        <v>1</v>
      </c>
      <c r="B128" s="127" t="s">
        <v>436</v>
      </c>
      <c r="C128" s="126" t="str">
        <f>Hulpblad!C122&amp;" "&amp;Hulpblad!D124&amp;""</f>
        <v>Geen Isolerende panelen, U ≤ 1,2 W/m2K ONWAAR</v>
      </c>
      <c r="D128" s="37"/>
      <c r="F128" s="2"/>
    </row>
    <row r="129" spans="1:6">
      <c r="A129" s="37">
        <v>2</v>
      </c>
      <c r="B129" s="127">
        <v>2025</v>
      </c>
      <c r="C129" s="126" t="str">
        <f>Hulpblad!C122&amp;" "&amp;Hulpblad!D125&amp;""</f>
        <v>Geen Isolerende panelen, U ≤ 1,2 W/m2K ONWAAR</v>
      </c>
      <c r="D129" s="37"/>
      <c r="F129" s="2"/>
    </row>
    <row r="130" spans="1:6">
      <c r="A130" s="37"/>
      <c r="B130" s="127"/>
      <c r="C130" s="126"/>
      <c r="D130" s="37"/>
      <c r="F130" s="2"/>
    </row>
    <row r="131" spans="1:6">
      <c r="A131" s="37"/>
      <c r="B131" s="33" t="s">
        <v>484</v>
      </c>
      <c r="C131" s="39"/>
      <c r="D131" s="37"/>
      <c r="F131" s="2"/>
    </row>
    <row r="132" spans="1:6">
      <c r="A132" s="37">
        <v>1</v>
      </c>
      <c r="B132" s="39" t="s">
        <v>485</v>
      </c>
      <c r="C132" s="39"/>
      <c r="D132" s="37"/>
      <c r="F132" s="2"/>
    </row>
    <row r="133" spans="1:6">
      <c r="A133" s="37">
        <v>2</v>
      </c>
      <c r="B133" s="39" t="s">
        <v>486</v>
      </c>
      <c r="C133" s="39"/>
      <c r="D133" s="37"/>
      <c r="F133" s="2"/>
    </row>
    <row r="134" spans="1:6">
      <c r="A134" s="37"/>
      <c r="B134" s="126">
        <v>1</v>
      </c>
      <c r="C134" s="126" t="str">
        <f>VLOOKUP(B134,A132:B133,2,FALSE)</f>
        <v>Geen Isolerende panelen, U ≤ 0,7 W/m2K</v>
      </c>
      <c r="D134" s="37"/>
      <c r="F134" s="2"/>
    </row>
    <row r="135" spans="1:6">
      <c r="A135" s="37"/>
      <c r="B135" s="34" t="s">
        <v>487</v>
      </c>
      <c r="C135" s="39"/>
      <c r="D135" s="37"/>
      <c r="F135" s="2"/>
    </row>
    <row r="136" spans="1:6">
      <c r="A136" s="37">
        <v>1</v>
      </c>
      <c r="B136" s="127" t="s">
        <v>436</v>
      </c>
      <c r="C136" s="126" t="b">
        <v>0</v>
      </c>
      <c r="D136" s="126" t="b">
        <f>IF(C136=TRUE,B136,C136)</f>
        <v>0</v>
      </c>
      <c r="F136" s="2"/>
    </row>
    <row r="137" spans="1:6">
      <c r="A137" s="37">
        <v>2</v>
      </c>
      <c r="B137" s="127">
        <v>2025</v>
      </c>
      <c r="C137" s="126" t="b">
        <v>0</v>
      </c>
      <c r="D137" s="131" t="b">
        <f>IF(C137=TRUE,B137,C137)</f>
        <v>0</v>
      </c>
      <c r="F137" s="2"/>
    </row>
    <row r="138" spans="1:6">
      <c r="A138" s="37"/>
      <c r="B138" s="125"/>
      <c r="C138" s="39"/>
      <c r="D138" s="37"/>
      <c r="F138" s="2"/>
    </row>
    <row r="139" spans="1:6">
      <c r="A139" s="37"/>
      <c r="B139" s="33" t="s">
        <v>488</v>
      </c>
      <c r="C139" s="39"/>
      <c r="D139" s="37"/>
      <c r="F139" s="2"/>
    </row>
    <row r="140" spans="1:6">
      <c r="A140" s="37">
        <v>1</v>
      </c>
      <c r="B140" s="127" t="s">
        <v>436</v>
      </c>
      <c r="C140" s="126" t="str">
        <f>Hulpblad!C134&amp;" "&amp;Hulpblad!D136&amp;""</f>
        <v>Geen Isolerende panelen, U ≤ 0,7 W/m2K ONWAAR</v>
      </c>
      <c r="D140" s="37"/>
      <c r="F140" s="2"/>
    </row>
    <row r="141" spans="1:6">
      <c r="A141" s="37">
        <v>2</v>
      </c>
      <c r="B141" s="127">
        <v>2025</v>
      </c>
      <c r="C141" s="126" t="str">
        <f>Hulpblad!C134&amp;" "&amp;Hulpblad!D137&amp;""</f>
        <v>Geen Isolerende panelen, U ≤ 0,7 W/m2K ONWAAR</v>
      </c>
      <c r="D141" s="37"/>
      <c r="F141" s="2"/>
    </row>
    <row r="142" spans="1:6">
      <c r="A142" s="37"/>
      <c r="B142" s="127"/>
      <c r="C142" s="126"/>
      <c r="D142" s="37"/>
      <c r="F142" s="2"/>
    </row>
    <row r="143" spans="1:6">
      <c r="A143" s="37"/>
      <c r="B143" s="33" t="s">
        <v>490</v>
      </c>
      <c r="C143" s="39"/>
      <c r="D143" s="37"/>
      <c r="F143" s="2"/>
    </row>
    <row r="144" spans="1:6">
      <c r="A144" s="37">
        <v>1</v>
      </c>
      <c r="B144" s="39" t="s">
        <v>493</v>
      </c>
      <c r="C144" s="39"/>
      <c r="D144" s="37"/>
      <c r="F144" s="2"/>
    </row>
    <row r="145" spans="1:6">
      <c r="A145" s="37">
        <v>2</v>
      </c>
      <c r="B145" s="39" t="s">
        <v>492</v>
      </c>
      <c r="C145" s="39"/>
      <c r="D145" s="37"/>
      <c r="F145" s="2"/>
    </row>
    <row r="146" spans="1:6">
      <c r="A146" s="37"/>
      <c r="B146" s="126">
        <v>1</v>
      </c>
      <c r="C146" s="126" t="str">
        <f>VLOOKUP(B146,A144:B145,2,FALSE)</f>
        <v>Geen Isolerende deuren, U ≤ 1,5 W/m2K</v>
      </c>
      <c r="D146" s="37"/>
      <c r="F146" s="2"/>
    </row>
    <row r="147" spans="1:6">
      <c r="A147" s="37"/>
      <c r="B147" s="34" t="s">
        <v>499</v>
      </c>
      <c r="C147" s="39"/>
      <c r="D147" s="37"/>
      <c r="F147" s="2"/>
    </row>
    <row r="148" spans="1:6">
      <c r="A148" s="37">
        <v>1</v>
      </c>
      <c r="B148" s="127" t="s">
        <v>436</v>
      </c>
      <c r="C148" s="126" t="b">
        <v>0</v>
      </c>
      <c r="D148" s="126" t="b">
        <f>IF(C148=TRUE,B148,C148)</f>
        <v>0</v>
      </c>
      <c r="F148" s="2"/>
    </row>
    <row r="149" spans="1:6">
      <c r="A149" s="37">
        <v>2</v>
      </c>
      <c r="B149" s="127">
        <v>2025</v>
      </c>
      <c r="C149" s="126" t="b">
        <v>0</v>
      </c>
      <c r="D149" s="131" t="b">
        <f>IF(C149=TRUE,B149,C149)</f>
        <v>0</v>
      </c>
      <c r="F149" s="2"/>
    </row>
    <row r="150" spans="1:6">
      <c r="A150" s="37"/>
      <c r="B150" s="125"/>
      <c r="C150" s="39"/>
      <c r="D150" s="37"/>
      <c r="F150" s="2"/>
    </row>
    <row r="151" spans="1:6">
      <c r="A151" s="37"/>
      <c r="B151" s="33" t="s">
        <v>496</v>
      </c>
      <c r="C151" s="39"/>
      <c r="D151" s="37"/>
      <c r="F151" s="2"/>
    </row>
    <row r="152" spans="1:6">
      <c r="A152" s="37">
        <v>1</v>
      </c>
      <c r="B152" s="127" t="s">
        <v>436</v>
      </c>
      <c r="C152" s="126" t="str">
        <f>Hulpblad!C146&amp;" "&amp;Hulpblad!D148&amp;""</f>
        <v>Geen Isolerende deuren, U ≤ 1,5 W/m2K ONWAAR</v>
      </c>
      <c r="D152" s="37"/>
      <c r="F152" s="2"/>
    </row>
    <row r="153" spans="1:6">
      <c r="A153" s="37">
        <v>2</v>
      </c>
      <c r="B153" s="127">
        <v>2025</v>
      </c>
      <c r="C153" s="126" t="str">
        <f>Hulpblad!C146&amp;" "&amp;Hulpblad!D149&amp;""</f>
        <v>Geen Isolerende deuren, U ≤ 1,5 W/m2K ONWAAR</v>
      </c>
      <c r="D153" s="37"/>
      <c r="F153" s="2"/>
    </row>
    <row r="154" spans="1:6">
      <c r="A154" s="37"/>
      <c r="B154" s="127"/>
      <c r="C154" s="126"/>
      <c r="D154" s="37"/>
      <c r="F154" s="2"/>
    </row>
    <row r="155" spans="1:6">
      <c r="A155" s="37"/>
      <c r="B155" s="33" t="s">
        <v>495</v>
      </c>
      <c r="C155" s="39"/>
      <c r="D155" s="37"/>
      <c r="F155" s="2"/>
    </row>
    <row r="156" spans="1:6">
      <c r="A156" s="37">
        <v>1</v>
      </c>
      <c r="B156" s="39" t="s">
        <v>491</v>
      </c>
      <c r="C156" s="39"/>
      <c r="D156" s="37"/>
      <c r="F156" s="2"/>
    </row>
    <row r="157" spans="1:6">
      <c r="A157" s="37">
        <v>2</v>
      </c>
      <c r="B157" s="39" t="s">
        <v>494</v>
      </c>
      <c r="C157" s="39"/>
      <c r="D157" s="37"/>
      <c r="F157" s="2"/>
    </row>
    <row r="158" spans="1:6">
      <c r="A158" s="37"/>
      <c r="B158" s="126">
        <v>1</v>
      </c>
      <c r="C158" s="126" t="str">
        <f>VLOOKUP(B158,A156:B157,2,FALSE)</f>
        <v>Geen Isolerende deuren, U ≤ 1,0 W/m2K</v>
      </c>
      <c r="D158" s="37"/>
      <c r="F158" s="2"/>
    </row>
    <row r="159" spans="1:6">
      <c r="A159" s="37"/>
      <c r="B159" s="34" t="s">
        <v>498</v>
      </c>
      <c r="C159" s="39"/>
      <c r="D159" s="37"/>
      <c r="F159" s="2"/>
    </row>
    <row r="160" spans="1:6">
      <c r="A160" s="37">
        <v>1</v>
      </c>
      <c r="B160" s="127" t="s">
        <v>436</v>
      </c>
      <c r="C160" s="126" t="b">
        <v>0</v>
      </c>
      <c r="D160" s="126" t="b">
        <f>IF(C160=TRUE,B160,C160)</f>
        <v>0</v>
      </c>
      <c r="F160" s="2"/>
    </row>
    <row r="161" spans="1:13">
      <c r="A161" s="37">
        <v>2</v>
      </c>
      <c r="B161" s="127">
        <v>2025</v>
      </c>
      <c r="C161" s="126" t="b">
        <v>0</v>
      </c>
      <c r="D161" s="131" t="b">
        <f>IF(C161=TRUE,B161,C161)</f>
        <v>0</v>
      </c>
      <c r="F161" s="2"/>
    </row>
    <row r="162" spans="1:13">
      <c r="A162" s="37"/>
      <c r="B162" s="125"/>
      <c r="C162" s="39"/>
      <c r="D162" s="37"/>
      <c r="F162" s="2"/>
    </row>
    <row r="163" spans="1:13">
      <c r="A163" s="37"/>
      <c r="B163" s="33" t="s">
        <v>497</v>
      </c>
      <c r="C163" s="39"/>
      <c r="D163" s="37"/>
      <c r="F163" s="2"/>
    </row>
    <row r="164" spans="1:13">
      <c r="A164" s="37">
        <v>1</v>
      </c>
      <c r="B164" s="127" t="s">
        <v>436</v>
      </c>
      <c r="C164" s="126" t="str">
        <f>Hulpblad!C158&amp;" "&amp;Hulpblad!D160&amp;""</f>
        <v>Geen Isolerende deuren, U ≤ 1,0 W/m2K ONWAAR</v>
      </c>
      <c r="D164" s="37"/>
      <c r="F164" s="2"/>
    </row>
    <row r="165" spans="1:13">
      <c r="A165" s="37">
        <v>2</v>
      </c>
      <c r="B165" s="127">
        <v>2025</v>
      </c>
      <c r="C165" s="126" t="str">
        <f>Hulpblad!C158&amp;" "&amp;Hulpblad!D161&amp;""</f>
        <v>Geen Isolerende deuren, U ≤ 1,0 W/m2K ONWAAR</v>
      </c>
      <c r="D165" s="37"/>
      <c r="F165" s="2"/>
    </row>
    <row r="166" spans="1:13">
      <c r="A166" s="37"/>
      <c r="B166" s="127"/>
      <c r="C166" s="126"/>
      <c r="D166" s="37"/>
      <c r="F166" s="2"/>
    </row>
    <row r="167" spans="1:13">
      <c r="A167" s="37"/>
      <c r="B167" s="127"/>
      <c r="C167" s="126"/>
      <c r="D167" s="37"/>
      <c r="F167" s="2"/>
    </row>
    <row r="168" spans="1:13" ht="15" customHeight="1">
      <c r="A168" s="37"/>
      <c r="B168" s="33" t="s">
        <v>467</v>
      </c>
      <c r="C168" s="33"/>
      <c r="D168" s="37"/>
      <c r="E168" s="3"/>
      <c r="F168" s="1"/>
      <c r="G168" s="5"/>
      <c r="I168" s="5"/>
      <c r="J168" s="5"/>
      <c r="K168" s="6"/>
      <c r="L168" s="6"/>
      <c r="M168" s="7"/>
    </row>
    <row r="169" spans="1:13">
      <c r="A169" s="37">
        <v>1</v>
      </c>
      <c r="B169" s="37" t="str">
        <f>IF(C93="Geen glasisolatie","Niet van toepassing","Kiest u voor HR++ glas, U ≤ 1,2 W/m2K?")</f>
        <v>Niet van toepassing</v>
      </c>
      <c r="C169" s="126"/>
      <c r="D169" s="126"/>
      <c r="E169" s="3"/>
      <c r="G169" s="6"/>
      <c r="H169" s="6"/>
      <c r="I169" s="3"/>
      <c r="K169" s="2"/>
      <c r="L169" s="6"/>
      <c r="M169" s="6"/>
    </row>
    <row r="170" spans="1:13">
      <c r="A170" s="37">
        <v>2</v>
      </c>
      <c r="B170" s="37" t="str">
        <f>IF(C93="Geen glasisolatie","Niet van toepassing","Kiest u voor Triple glas, U ≤ 0,7 W/m2K?")</f>
        <v>Niet van toepassing</v>
      </c>
      <c r="C170" s="39"/>
      <c r="D170" s="126"/>
      <c r="E170" s="3"/>
      <c r="G170" s="2"/>
      <c r="H170" s="6"/>
      <c r="K170" s="2"/>
      <c r="L170" s="6"/>
      <c r="M170" s="6"/>
    </row>
    <row r="171" spans="1:13">
      <c r="A171" s="37">
        <v>3</v>
      </c>
      <c r="B171" s="37" t="str">
        <f>IF(OR(
AND($B$93=2,$B$98=2,$C$100=TRUE,'Keuzeblad maatregelen'!$K$85&gt;0),
AND($B$93=2,$B$98=2,$C$101=TRUE,'Keuzeblad maatregelen'!$K$87&gt;0),
AND($B$93=2,$B$110=2,$C$112=TRUE,'Keuzeblad maatregelen'!$K$90&gt;0),
AND($B$93=2,$B$110=2,$C$113=TRUE,'Keuzeblad maatregelen'!$K$92&gt;0)
),"Kiest u ook voor Isolerende panelen in kozijnen, U ≤ 1,2 W/m2K?","Niet van toepassing")</f>
        <v>Niet van toepassing</v>
      </c>
      <c r="C171" s="39"/>
      <c r="D171" s="126"/>
      <c r="E171" s="3"/>
      <c r="F171" s="151"/>
      <c r="G171" s="2"/>
      <c r="H171" s="6"/>
      <c r="K171" s="2"/>
      <c r="L171" s="6"/>
      <c r="M171" s="6"/>
    </row>
    <row r="172" spans="1:13">
      <c r="A172" s="37">
        <v>4</v>
      </c>
      <c r="B172" s="37" t="str">
        <f>IF(OR(
AND($B$93=2,$B$98=2,$C$100=TRUE,'Keuzeblad maatregelen'!$K$85&gt;0),
AND($B$93=2,$B$98=2,$C$101=TRUE,'Keuzeblad maatregelen'!$K$87&gt;0),
AND($B$93=2,$B$110=2,$C$112=TRUE,'Keuzeblad maatregelen'!$K$90&gt;0),
AND($B$93=2,$B$110=2,$C$113=TRUE,'Keuzeblad maatregelen'!$K$92&gt;0)
),"Kiest u ook voor Isolerende panelen in kozijnen, U ≤ 0,7 W/m2K?","Niet van toepassing")</f>
        <v>Niet van toepassing</v>
      </c>
      <c r="C172" s="39"/>
      <c r="D172" s="126"/>
      <c r="E172" s="3"/>
      <c r="G172" s="2"/>
      <c r="H172" s="6"/>
      <c r="K172" s="2"/>
      <c r="L172" s="6"/>
      <c r="M172" s="6"/>
    </row>
    <row r="173" spans="1:13">
      <c r="A173" s="37">
        <v>5</v>
      </c>
      <c r="B173" s="37" t="str">
        <f>IF(OR(
AND($B$93=2,$B$98=2,$C$100=TRUE,'Keuzeblad maatregelen'!$K$85&gt;0),
AND($B$93=2,$B$98=2,$C$101=TRUE,'Keuzeblad maatregelen'!$K$87&gt;0),
AND($B$93=2,$B$110=2,$C$112=TRUE,'Keuzeblad maatregelen'!$K$90&gt;0),
AND($B$93=2,$B$110=2,$C$113=TRUE,'Keuzeblad maatregelen'!$K$92&gt;0)
),"Kiest u ook voor Isolerende deuren, U ≤ 1,5 W/m2K?","Niet van toepassing")</f>
        <v>Niet van toepassing</v>
      </c>
      <c r="C173" s="126"/>
      <c r="D173" s="126"/>
      <c r="E173" s="3"/>
      <c r="G173" s="2"/>
      <c r="H173" s="6"/>
      <c r="I173" s="3"/>
      <c r="K173" s="2"/>
      <c r="L173" s="6"/>
      <c r="M173" s="6"/>
    </row>
    <row r="174" spans="1:13">
      <c r="A174" s="37">
        <v>6</v>
      </c>
      <c r="B174" s="37" t="str">
        <f>IF(OR(
AND($B$93=2,$B$98=2,$C$100=TRUE,'Keuzeblad maatregelen'!$K$85&gt;0),
AND($B$93=2,$B$98=2,$C$101=TRUE,'Keuzeblad maatregelen'!$K$87&gt;0),
AND($B$93=2,$B$110=2,$C$112=TRUE,'Keuzeblad maatregelen'!$K$90&gt;0),
AND($B$93=2,$B$110=2,$C$113=TRUE,'Keuzeblad maatregelen'!$K$92&gt;0)
),"Kiest u ook voor Isolerende deuren, U ≤ 1,0 W/m2K?","Niet van toepassing")</f>
        <v>Niet van toepassing</v>
      </c>
      <c r="C174" s="39"/>
      <c r="D174" s="126"/>
      <c r="E174" s="3"/>
      <c r="G174" s="2"/>
      <c r="H174" s="6"/>
      <c r="K174" s="2"/>
      <c r="L174" s="6"/>
      <c r="M174" s="6"/>
    </row>
    <row r="175" spans="1:13">
      <c r="A175" s="37"/>
      <c r="B175" s="37"/>
      <c r="C175" s="39"/>
      <c r="D175" s="126"/>
      <c r="E175" s="3"/>
      <c r="F175" s="151"/>
      <c r="G175" s="2"/>
      <c r="H175" s="6"/>
      <c r="K175" s="2"/>
      <c r="L175" s="6"/>
      <c r="M175" s="6"/>
    </row>
    <row r="176" spans="1:13">
      <c r="A176" s="37"/>
      <c r="B176" s="37"/>
      <c r="C176" s="39"/>
      <c r="D176" s="39"/>
      <c r="E176" s="3"/>
      <c r="F176" s="2"/>
    </row>
    <row r="177" spans="1:6">
      <c r="A177" s="37"/>
      <c r="B177" s="34" t="s">
        <v>63</v>
      </c>
      <c r="C177" s="39"/>
      <c r="D177" s="35" t="s">
        <v>514</v>
      </c>
      <c r="E177" s="35" t="s">
        <v>512</v>
      </c>
      <c r="F177" s="35" t="s">
        <v>513</v>
      </c>
    </row>
    <row r="178" spans="1:6">
      <c r="A178" s="37"/>
      <c r="B178" s="126">
        <f>IF(B4=3,1,0)</f>
        <v>0</v>
      </c>
      <c r="C178" s="39" t="s">
        <v>167</v>
      </c>
      <c r="D178" s="39">
        <f>IF(AND(B98=2,C100=TRUE,'Keuzeblad maatregelen'!K85&gt;0),'Keuzeblad maatregelen'!K85,0)</f>
        <v>0</v>
      </c>
      <c r="E178" s="39">
        <f>D178</f>
        <v>0</v>
      </c>
      <c r="F178" s="39"/>
    </row>
    <row r="179" spans="1:6">
      <c r="A179" s="37"/>
      <c r="B179" s="126">
        <f>IF(OR(AND(B13&gt;1,B19&gt;1),AND(B25&gt;1,B31&gt;1)),IF('Keuzeblad maatregelen'!K28+'Keuzeblad maatregelen'!K34&gt;=20,1,0),0)</f>
        <v>0</v>
      </c>
      <c r="C179" s="39" t="s">
        <v>427</v>
      </c>
      <c r="D179" s="37">
        <f>IF(AND(B98=2,C101=TRUE,'Keuzeblad maatregelen'!K87&gt;0),'Keuzeblad maatregelen'!K87,0)</f>
        <v>0</v>
      </c>
      <c r="E179" s="39"/>
      <c r="F179" s="39">
        <f t="shared" ref="F179:F189" si="0">D179</f>
        <v>0</v>
      </c>
    </row>
    <row r="180" spans="1:6">
      <c r="A180" s="37"/>
      <c r="B180" s="126">
        <f>IF(AND(B37&gt;1,B43&gt;1,'Keuzeblad maatregelen'!K40&gt;=10),1,0)</f>
        <v>0</v>
      </c>
      <c r="C180" s="39" t="s">
        <v>5</v>
      </c>
      <c r="D180" s="39">
        <f>IF(AND(B110=2,C112=TRUE,'Keuzeblad maatregelen'!K90&gt;0),'Keuzeblad maatregelen'!K90,0)</f>
        <v>0</v>
      </c>
      <c r="E180" s="39">
        <f t="shared" ref="E180:E188" si="1">D180</f>
        <v>0</v>
      </c>
      <c r="F180" s="39"/>
    </row>
    <row r="181" spans="1:6">
      <c r="A181" s="37"/>
      <c r="B181" s="126">
        <f>IF(AND(B49&gt;1,B55&gt;1,'Keuzeblad maatregelen'!K46&gt;=10),1,0)</f>
        <v>0</v>
      </c>
      <c r="C181" s="39" t="s">
        <v>6</v>
      </c>
      <c r="D181" s="39">
        <f>IF(AND(B110=2,C113=TRUE,'Keuzeblad maatregelen'!K92&gt;0),'Keuzeblad maatregelen'!K92,0)</f>
        <v>0</v>
      </c>
      <c r="E181" s="39"/>
      <c r="F181" s="39">
        <f t="shared" si="0"/>
        <v>0</v>
      </c>
    </row>
    <row r="182" spans="1:6">
      <c r="A182" s="37"/>
      <c r="B182" s="126">
        <f>IF(OR(AND(B61&gt;1,B67&gt;1),AND(B73&gt;1,B79&gt;1)),IF('Keuzeblad maatregelen'!K52+'Keuzeblad maatregelen'!K58&gt;=20,1,0),0)</f>
        <v>0</v>
      </c>
      <c r="C182" s="39" t="s">
        <v>428</v>
      </c>
      <c r="D182" s="39">
        <f>IF(AND(B122=2,C124=TRUE,'Keuzeblad maatregelen'!K95&gt;0),'Keuzeblad maatregelen'!K95,0)</f>
        <v>0</v>
      </c>
      <c r="E182" s="39">
        <f t="shared" si="1"/>
        <v>0</v>
      </c>
      <c r="F182" s="39"/>
    </row>
    <row r="183" spans="1:6">
      <c r="A183" s="37"/>
      <c r="B183" s="126">
        <f>IF(D190&gt;=8,1,
IF(D190&lt;3,0,
IF(AND(D190&gt;=3,F190&gt;=1),1,0)))</f>
        <v>0</v>
      </c>
      <c r="C183" s="39" t="s">
        <v>7</v>
      </c>
      <c r="D183" s="39">
        <f>IF(AND(B122=2,C125=TRUE,'Keuzeblad maatregelen'!K97&gt;0),'Keuzeblad maatregelen'!K97,0)</f>
        <v>0</v>
      </c>
      <c r="E183" s="39"/>
      <c r="F183" s="39">
        <f t="shared" si="0"/>
        <v>0</v>
      </c>
    </row>
    <row r="184" spans="1:6">
      <c r="A184" s="37"/>
      <c r="B184" s="126">
        <f>IF('Keuzeblad maatregelen'!O121&gt;0,1,0)</f>
        <v>0</v>
      </c>
      <c r="C184" s="39" t="s">
        <v>152</v>
      </c>
      <c r="D184" s="39">
        <f>IF(AND(B134=2,C136=TRUE,'Keuzeblad maatregelen'!K100&gt;0),'Keuzeblad maatregelen'!K100,0)</f>
        <v>0</v>
      </c>
      <c r="E184" s="39">
        <f t="shared" si="1"/>
        <v>0</v>
      </c>
      <c r="F184" s="39"/>
    </row>
    <row r="185" spans="1:6">
      <c r="A185" s="37"/>
      <c r="B185" s="126">
        <f>IF('Keuzeblad maatregelen'!O152&gt;0,1,0)</f>
        <v>0</v>
      </c>
      <c r="C185" s="39" t="s">
        <v>9</v>
      </c>
      <c r="D185" s="39">
        <f>IF(AND(B134=2,C137=TRUE,'Keuzeblad maatregelen'!K102&gt;0),'Keuzeblad maatregelen'!K102,0)</f>
        <v>0</v>
      </c>
      <c r="E185" s="39"/>
      <c r="F185" s="39">
        <f t="shared" si="0"/>
        <v>0</v>
      </c>
    </row>
    <row r="186" spans="1:6">
      <c r="A186" s="37"/>
      <c r="B186" s="126">
        <f>IF('Keuzeblad maatregelen'!O165&gt;0,1,0)</f>
        <v>0</v>
      </c>
      <c r="C186" s="39" t="s">
        <v>22</v>
      </c>
      <c r="D186" s="39">
        <f>IF(AND(B146=2,C148=TRUE,'Keuzeblad maatregelen'!K105&gt;0),'Keuzeblad maatregelen'!K105,0)</f>
        <v>0</v>
      </c>
      <c r="E186" s="39">
        <f t="shared" si="1"/>
        <v>0</v>
      </c>
      <c r="F186" s="39"/>
    </row>
    <row r="187" spans="1:6">
      <c r="A187" s="37"/>
      <c r="B187" s="34" t="s">
        <v>168</v>
      </c>
      <c r="C187" s="131">
        <f>SUM(B178:B186)</f>
        <v>0</v>
      </c>
      <c r="D187" s="39">
        <f>IF(AND(B146=2,C149=TRUE,'Keuzeblad maatregelen'!K107&gt;0),'Keuzeblad maatregelen'!K107,0)</f>
        <v>0</v>
      </c>
      <c r="E187" s="39"/>
      <c r="F187" s="39">
        <f t="shared" si="0"/>
        <v>0</v>
      </c>
    </row>
    <row r="188" spans="1:6">
      <c r="A188" s="37"/>
      <c r="B188" s="34"/>
      <c r="C188" s="131"/>
      <c r="D188" s="39">
        <f>IF(AND(B158=2,C160=TRUE,'Keuzeblad maatregelen'!K110&gt;0),'Keuzeblad maatregelen'!K110,0)</f>
        <v>0</v>
      </c>
      <c r="E188" s="39">
        <f t="shared" si="1"/>
        <v>0</v>
      </c>
      <c r="F188" s="39"/>
    </row>
    <row r="189" spans="1:6">
      <c r="A189" s="37"/>
      <c r="B189" s="34"/>
      <c r="C189" s="131"/>
      <c r="D189" s="39">
        <f>IF(AND(B158=2,C161=TRUE,'Keuzeblad maatregelen'!K112&gt;0),'Keuzeblad maatregelen'!K112,0)</f>
        <v>0</v>
      </c>
      <c r="E189" s="39"/>
      <c r="F189" s="39">
        <f t="shared" si="0"/>
        <v>0</v>
      </c>
    </row>
    <row r="190" spans="1:6" ht="18.75">
      <c r="A190" s="37"/>
      <c r="B190" s="34"/>
      <c r="C190" s="37"/>
      <c r="D190" s="133">
        <f>SUM(D178:D189)</f>
        <v>0</v>
      </c>
      <c r="E190" s="134">
        <f>SUM(E178:E189)</f>
        <v>0</v>
      </c>
      <c r="F190" s="134">
        <f>SUM(F178:F189)</f>
        <v>0</v>
      </c>
    </row>
    <row r="191" spans="1:6">
      <c r="A191" s="37"/>
      <c r="B191" s="34"/>
      <c r="C191" s="37"/>
      <c r="D191" s="37"/>
    </row>
    <row r="192" spans="1:6" ht="18.75">
      <c r="A192" s="37"/>
      <c r="B192" s="133" t="s">
        <v>30</v>
      </c>
      <c r="C192" s="34" t="s">
        <v>435</v>
      </c>
      <c r="D192" s="34" t="s">
        <v>433</v>
      </c>
      <c r="E192" s="34" t="s">
        <v>434</v>
      </c>
    </row>
    <row r="193" spans="1:5">
      <c r="A193" s="37">
        <v>1</v>
      </c>
      <c r="B193" s="39" t="s">
        <v>31</v>
      </c>
      <c r="C193" s="37">
        <v>0</v>
      </c>
      <c r="D193" s="37"/>
      <c r="E193" s="37"/>
    </row>
    <row r="194" spans="1:5">
      <c r="A194" s="37">
        <v>2</v>
      </c>
      <c r="B194" s="37" t="str">
        <f>B385</f>
        <v>Lucht-water &lt; 1 kW</v>
      </c>
      <c r="C194" s="37">
        <v>0</v>
      </c>
      <c r="D194" s="37"/>
      <c r="E194" s="37"/>
    </row>
    <row r="195" spans="1:5">
      <c r="A195" s="37">
        <v>3</v>
      </c>
      <c r="B195" s="37" t="str">
        <f>B390</f>
        <v>Lucht-water ≥ 1 kW en ≤ 70 kW</v>
      </c>
      <c r="C195" s="37">
        <v>1</v>
      </c>
      <c r="D195" s="37">
        <v>1</v>
      </c>
      <c r="E195" s="37">
        <v>70</v>
      </c>
    </row>
    <row r="196" spans="1:5">
      <c r="A196" s="37">
        <v>4</v>
      </c>
      <c r="B196" s="37" t="str">
        <f>B395</f>
        <v>Lucht-water ≥ 71 kW en ≤ 400 kW</v>
      </c>
      <c r="C196" s="37">
        <v>1</v>
      </c>
      <c r="D196" s="37">
        <v>71</v>
      </c>
      <c r="E196" s="37">
        <v>400</v>
      </c>
    </row>
    <row r="197" spans="1:5">
      <c r="A197" s="37">
        <v>5</v>
      </c>
      <c r="B197" s="37" t="str">
        <f>B401</f>
        <v>Grond-water &lt; 1 kW</v>
      </c>
      <c r="C197" s="37">
        <v>0</v>
      </c>
      <c r="D197" s="37"/>
      <c r="E197" s="37"/>
    </row>
    <row r="198" spans="1:5">
      <c r="A198" s="37">
        <v>6</v>
      </c>
      <c r="B198" s="37" t="str">
        <f>B406</f>
        <v>Grond-water ≥ 1 kW en &lt; 10 kW</v>
      </c>
      <c r="C198" s="37">
        <v>0</v>
      </c>
      <c r="D198" s="37"/>
      <c r="E198" s="37"/>
    </row>
    <row r="199" spans="1:5">
      <c r="A199" s="37">
        <v>7</v>
      </c>
      <c r="B199" s="37" t="str">
        <f>B411</f>
        <v>Grond-water ≥ 10 kW en ≤ 70 kW</v>
      </c>
      <c r="C199" s="37">
        <v>1</v>
      </c>
      <c r="D199" s="37">
        <v>10</v>
      </c>
      <c r="E199" s="37">
        <v>70</v>
      </c>
    </row>
    <row r="200" spans="1:5">
      <c r="A200" s="37">
        <v>8</v>
      </c>
      <c r="B200" s="37" t="str">
        <f>B416</f>
        <v>Grond-water ≥ 71 kW en ≤ 400 kW</v>
      </c>
      <c r="C200" s="37">
        <v>1</v>
      </c>
      <c r="D200" s="37">
        <v>71</v>
      </c>
      <c r="E200" s="37">
        <v>400</v>
      </c>
    </row>
    <row r="201" spans="1:5">
      <c r="A201" s="37">
        <v>9</v>
      </c>
      <c r="B201" s="37" t="str">
        <f>+B422</f>
        <v>Water-water &lt; 1 kW</v>
      </c>
      <c r="C201" s="37">
        <v>0</v>
      </c>
      <c r="D201" s="37"/>
      <c r="E201" s="37"/>
    </row>
    <row r="202" spans="1:5">
      <c r="A202" s="37">
        <v>10</v>
      </c>
      <c r="B202" s="37" t="str">
        <f>B427</f>
        <v>Water-water ≥ 1 kW en &lt; 10 kW</v>
      </c>
      <c r="C202" s="37">
        <v>0</v>
      </c>
      <c r="D202" s="37"/>
      <c r="E202" s="37"/>
    </row>
    <row r="203" spans="1:5">
      <c r="A203" s="37">
        <v>11</v>
      </c>
      <c r="B203" s="37" t="str">
        <f>B432</f>
        <v>Water-water ≥ 10 kW en ≤ 70 kW</v>
      </c>
      <c r="C203" s="37">
        <v>1</v>
      </c>
      <c r="D203" s="37">
        <v>10</v>
      </c>
      <c r="E203" s="37">
        <v>70</v>
      </c>
    </row>
    <row r="204" spans="1:5">
      <c r="A204" s="37">
        <v>12</v>
      </c>
      <c r="B204" s="37" t="str">
        <f>B437</f>
        <v>Water-water ≥ 71 kW en ≤ 400 kW</v>
      </c>
      <c r="C204" s="37">
        <v>1</v>
      </c>
      <c r="D204" s="37">
        <v>71</v>
      </c>
      <c r="E204" s="37">
        <v>400</v>
      </c>
    </row>
    <row r="205" spans="1:5">
      <c r="A205" s="37"/>
      <c r="B205" s="126">
        <v>1</v>
      </c>
      <c r="C205" s="126" t="str">
        <f>VLOOKUP(B205,A193:B204,2,FALSE)</f>
        <v>Geen warmtepomp</v>
      </c>
      <c r="D205" s="37"/>
      <c r="E205" s="37"/>
    </row>
    <row r="206" spans="1:5">
      <c r="A206" s="37"/>
      <c r="B206" s="126"/>
      <c r="C206" s="37"/>
      <c r="D206" s="37"/>
      <c r="E206" s="37"/>
    </row>
    <row r="207" spans="1:5">
      <c r="A207" s="37"/>
      <c r="B207" s="33" t="s">
        <v>52</v>
      </c>
      <c r="C207" s="34"/>
      <c r="D207" s="34"/>
      <c r="E207" s="34"/>
    </row>
    <row r="208" spans="1:5">
      <c r="A208" s="37">
        <v>1</v>
      </c>
      <c r="B208" s="39" t="s">
        <v>50</v>
      </c>
      <c r="C208" s="34"/>
      <c r="D208" s="37"/>
      <c r="E208" s="37"/>
    </row>
    <row r="209" spans="1:5">
      <c r="A209" s="37">
        <v>2</v>
      </c>
      <c r="B209" s="37" t="s">
        <v>105</v>
      </c>
      <c r="C209" s="37"/>
      <c r="D209" s="37"/>
      <c r="E209" s="37"/>
    </row>
    <row r="210" spans="1:5">
      <c r="A210" s="37">
        <v>3</v>
      </c>
      <c r="B210" s="37" t="s">
        <v>106</v>
      </c>
      <c r="C210" s="37"/>
      <c r="D210" s="37"/>
      <c r="E210" s="37"/>
    </row>
    <row r="211" spans="1:5">
      <c r="A211" s="37">
        <v>4</v>
      </c>
      <c r="B211" s="37" t="s">
        <v>107</v>
      </c>
      <c r="C211" s="37"/>
      <c r="D211" s="37"/>
      <c r="E211" s="37"/>
    </row>
    <row r="212" spans="1:5">
      <c r="A212" s="37">
        <v>5</v>
      </c>
      <c r="B212" s="37" t="str">
        <f>IF(OR($C$205="Geen warmtepomp",$C$205="Lucht-water ≥ 70 kW en ≤ 400 kW",$C$205="Grond-water ≥ 70 kW en ≤ 400 kW",$C$205="Water-water ≥ 70 kW en ≤ 400 kW" ),"Niet van toepassing","Energieklasse A t/m G")</f>
        <v>Niet van toepassing</v>
      </c>
      <c r="C212" s="37"/>
      <c r="D212" s="37"/>
      <c r="E212" s="37"/>
    </row>
    <row r="213" spans="1:5">
      <c r="A213" s="37"/>
      <c r="B213" s="126">
        <v>1</v>
      </c>
      <c r="C213" s="126" t="str">
        <f>VLOOKUP(B213,A208:B212,2,FALSE)</f>
        <v>Niet van toepassing</v>
      </c>
      <c r="D213" s="37"/>
      <c r="E213" s="126"/>
    </row>
    <row r="214" spans="1:5">
      <c r="A214" s="37"/>
      <c r="B214" s="126"/>
      <c r="C214" s="126"/>
      <c r="D214" s="126"/>
      <c r="E214" s="37"/>
    </row>
    <row r="215" spans="1:5">
      <c r="A215" s="37"/>
      <c r="B215" s="33" t="s">
        <v>108</v>
      </c>
      <c r="C215" s="126"/>
      <c r="D215" s="126"/>
      <c r="E215" s="37"/>
    </row>
    <row r="216" spans="1:5">
      <c r="A216" s="37">
        <v>1</v>
      </c>
      <c r="B216" s="39" t="s">
        <v>50</v>
      </c>
      <c r="C216" s="126"/>
      <c r="D216" s="126"/>
      <c r="E216" s="37"/>
    </row>
    <row r="217" spans="1:5">
      <c r="A217" s="37">
        <v>2</v>
      </c>
      <c r="B217" s="39" t="s">
        <v>309</v>
      </c>
      <c r="C217" s="126"/>
      <c r="D217" s="126"/>
      <c r="E217" s="37"/>
    </row>
    <row r="218" spans="1:5">
      <c r="A218" s="37">
        <v>3</v>
      </c>
      <c r="B218" s="125">
        <v>2024</v>
      </c>
      <c r="C218" s="126"/>
      <c r="D218" s="126"/>
      <c r="E218" s="37"/>
    </row>
    <row r="219" spans="1:5">
      <c r="A219" s="37">
        <v>4</v>
      </c>
      <c r="B219" s="125">
        <v>2025</v>
      </c>
      <c r="C219" s="126"/>
      <c r="D219" s="126"/>
      <c r="E219" s="37"/>
    </row>
    <row r="220" spans="1:5">
      <c r="A220" s="37"/>
      <c r="B220" s="126">
        <v>1</v>
      </c>
      <c r="C220" s="131" t="str">
        <f>VLOOKUP(B220,A216:B219,2,FALSE)</f>
        <v>Niet van toepassing</v>
      </c>
      <c r="D220" s="126"/>
      <c r="E220" s="37"/>
    </row>
    <row r="221" spans="1:5">
      <c r="A221" s="37"/>
      <c r="B221" s="33" t="s">
        <v>305</v>
      </c>
      <c r="C221" s="131" t="str">
        <f>IF(AND(B220=4,B205=3,'Keuzeblad maatregelen'!C143&lt;13),'Keuzeblad maatregelen'!E129,
IF(AND(B220=4,B205=3,'Keuzeblad maatregelen'!C143&gt;=13),2025,""))</f>
        <v/>
      </c>
      <c r="D221" s="126"/>
      <c r="E221" s="37"/>
    </row>
    <row r="222" spans="1:5">
      <c r="A222" s="37"/>
      <c r="B222" s="33"/>
      <c r="C222" s="126"/>
      <c r="D222" s="126"/>
      <c r="E222" s="37"/>
    </row>
    <row r="223" spans="1:5">
      <c r="A223" s="37"/>
      <c r="B223" s="126"/>
      <c r="C223" s="126"/>
      <c r="D223" s="126"/>
      <c r="E223" s="37"/>
    </row>
    <row r="224" spans="1:5">
      <c r="A224" s="37"/>
      <c r="B224" s="33" t="s">
        <v>110</v>
      </c>
      <c r="C224" s="126" t="str">
        <f>Hulpblad!C205&amp;" "&amp;Hulpblad!C213&amp;" "&amp;Hulpblad!C220&amp;""&amp;C221&amp;""</f>
        <v>Geen warmtepomp Niet van toepassing Niet van toepassing</v>
      </c>
      <c r="D224" s="126"/>
      <c r="E224" s="37"/>
    </row>
    <row r="225" spans="1:12">
      <c r="A225" s="37"/>
      <c r="B225" s="37"/>
      <c r="C225" s="37"/>
      <c r="D225" s="37"/>
      <c r="E225" s="37"/>
    </row>
    <row r="226" spans="1:12">
      <c r="A226" s="37"/>
      <c r="B226" s="34" t="s">
        <v>37</v>
      </c>
      <c r="C226" s="37"/>
      <c r="D226" s="37"/>
      <c r="E226" s="37"/>
    </row>
    <row r="227" spans="1:12">
      <c r="A227" s="37"/>
      <c r="B227" s="37" t="s">
        <v>53</v>
      </c>
      <c r="C227" s="126">
        <f>VLOOKUP(C205,B193:E204,3,FALSE)</f>
        <v>0</v>
      </c>
      <c r="D227" s="37"/>
      <c r="E227" s="37"/>
    </row>
    <row r="228" spans="1:12">
      <c r="A228" s="37"/>
      <c r="B228" s="37" t="s">
        <v>54</v>
      </c>
      <c r="C228" s="126">
        <f>VLOOKUP(C205,B193:E204,4,FALSE)</f>
        <v>0</v>
      </c>
      <c r="D228" s="37"/>
      <c r="E228" s="37"/>
    </row>
    <row r="229" spans="1:12">
      <c r="A229" s="37"/>
      <c r="B229" s="37"/>
      <c r="C229" s="37"/>
      <c r="D229" s="37"/>
      <c r="E229" s="37"/>
      <c r="F229" s="37"/>
      <c r="G229" s="37"/>
      <c r="H229" s="37"/>
      <c r="I229" s="37"/>
      <c r="J229" s="37"/>
      <c r="K229" s="37"/>
      <c r="L229" s="37"/>
    </row>
    <row r="230" spans="1:12" ht="18.75">
      <c r="A230" s="37"/>
      <c r="B230" s="134" t="s">
        <v>34</v>
      </c>
      <c r="C230" s="37"/>
      <c r="D230" s="37"/>
      <c r="E230" s="37"/>
      <c r="F230" s="37"/>
      <c r="G230" s="37"/>
      <c r="H230" s="37"/>
      <c r="I230" s="37"/>
      <c r="J230" s="37"/>
      <c r="K230" s="37"/>
      <c r="L230" s="37"/>
    </row>
    <row r="231" spans="1:12">
      <c r="A231" s="37">
        <v>1</v>
      </c>
      <c r="B231" s="37" t="s">
        <v>35</v>
      </c>
      <c r="C231" s="37"/>
      <c r="D231" s="37"/>
      <c r="E231" s="37"/>
      <c r="F231" s="37"/>
      <c r="G231" s="37"/>
      <c r="H231" s="37"/>
      <c r="I231" s="37"/>
      <c r="J231" s="37"/>
      <c r="K231" s="37"/>
      <c r="L231" s="37"/>
    </row>
    <row r="232" spans="1:12" ht="17.25">
      <c r="A232" s="37">
        <v>2</v>
      </c>
      <c r="B232" s="37" t="s">
        <v>18</v>
      </c>
      <c r="C232" s="37"/>
      <c r="D232" s="37"/>
      <c r="E232" s="37"/>
      <c r="F232" s="37"/>
      <c r="G232" s="37"/>
      <c r="H232" s="37"/>
      <c r="I232" s="37"/>
      <c r="J232" s="37"/>
      <c r="K232" s="37"/>
      <c r="L232" s="37"/>
    </row>
    <row r="233" spans="1:12" ht="17.25">
      <c r="A233" s="37">
        <v>3</v>
      </c>
      <c r="B233" s="37" t="s">
        <v>19</v>
      </c>
      <c r="C233" s="37"/>
      <c r="D233" s="37"/>
      <c r="E233" s="37"/>
      <c r="F233" s="37"/>
      <c r="G233" s="37"/>
      <c r="H233" s="37"/>
      <c r="I233" s="37"/>
      <c r="J233" s="37"/>
      <c r="K233" s="37"/>
      <c r="L233" s="37"/>
    </row>
    <row r="234" spans="1:12" ht="17.25">
      <c r="A234" s="37">
        <v>4</v>
      </c>
      <c r="B234" s="37" t="s">
        <v>20</v>
      </c>
      <c r="C234" s="37"/>
      <c r="D234" s="37"/>
      <c r="E234" s="37"/>
      <c r="F234" s="37"/>
      <c r="G234" s="37"/>
      <c r="H234" s="37"/>
      <c r="I234" s="37"/>
      <c r="J234" s="37"/>
      <c r="K234" s="37"/>
      <c r="L234" s="37"/>
    </row>
    <row r="235" spans="1:12" ht="17.25">
      <c r="A235" s="37">
        <v>5</v>
      </c>
      <c r="B235" s="37" t="s">
        <v>21</v>
      </c>
      <c r="C235" s="37"/>
      <c r="D235" s="37"/>
      <c r="E235" s="37"/>
      <c r="F235" s="37"/>
      <c r="G235" s="37"/>
      <c r="H235" s="37"/>
      <c r="I235" s="37"/>
      <c r="J235" s="37"/>
      <c r="K235" s="37"/>
      <c r="L235" s="37"/>
    </row>
    <row r="236" spans="1:12">
      <c r="A236" s="37"/>
      <c r="B236" s="126">
        <v>1</v>
      </c>
      <c r="C236" s="126" t="str">
        <f>VLOOKUP(B236,A231:B235,2,FALSE)</f>
        <v>Geen zonneboiler</v>
      </c>
      <c r="D236" s="37"/>
      <c r="E236" s="37"/>
      <c r="F236" s="37"/>
      <c r="G236" s="37"/>
      <c r="H236" s="37"/>
      <c r="I236" s="37"/>
      <c r="J236" s="37"/>
      <c r="K236" s="37"/>
      <c r="L236" s="37"/>
    </row>
    <row r="237" spans="1:12">
      <c r="A237" s="37"/>
      <c r="B237" s="126"/>
      <c r="C237" s="126"/>
      <c r="D237" s="37"/>
      <c r="E237" s="37"/>
      <c r="F237" s="37"/>
      <c r="G237" s="37"/>
      <c r="H237" s="37"/>
      <c r="I237" s="37"/>
      <c r="J237" s="37"/>
      <c r="K237" s="37"/>
      <c r="L237" s="37"/>
    </row>
    <row r="238" spans="1:12">
      <c r="A238" s="37"/>
      <c r="B238" s="33" t="s">
        <v>118</v>
      </c>
      <c r="C238" s="126"/>
      <c r="D238" s="37"/>
      <c r="E238" s="37"/>
      <c r="F238" s="37"/>
      <c r="G238" s="37"/>
      <c r="H238" s="37"/>
      <c r="I238" s="37"/>
      <c r="J238" s="37"/>
      <c r="K238" s="37"/>
      <c r="L238" s="37"/>
    </row>
    <row r="239" spans="1:12">
      <c r="A239" s="37">
        <v>1</v>
      </c>
      <c r="B239" s="39" t="s">
        <v>50</v>
      </c>
      <c r="C239" s="126"/>
      <c r="D239" s="37"/>
      <c r="E239" s="37"/>
      <c r="F239" s="37"/>
      <c r="G239" s="37"/>
      <c r="H239" s="37"/>
      <c r="I239" s="37"/>
      <c r="J239" s="37"/>
      <c r="K239" s="37"/>
      <c r="L239" s="37"/>
    </row>
    <row r="240" spans="1:12">
      <c r="A240" s="37">
        <v>2</v>
      </c>
      <c r="B240" s="39" t="s">
        <v>109</v>
      </c>
      <c r="C240" s="126"/>
      <c r="D240" s="37"/>
      <c r="E240" s="37"/>
      <c r="F240" s="37"/>
      <c r="G240" s="37"/>
      <c r="H240" s="37"/>
      <c r="I240" s="37"/>
      <c r="J240" s="37"/>
      <c r="K240" s="37"/>
      <c r="L240" s="37"/>
    </row>
    <row r="241" spans="1:12">
      <c r="A241" s="37">
        <v>3</v>
      </c>
      <c r="B241" s="39" t="s">
        <v>92</v>
      </c>
      <c r="C241" s="126"/>
      <c r="D241" s="37"/>
      <c r="E241" s="37"/>
      <c r="F241" s="37"/>
      <c r="G241" s="37"/>
      <c r="H241" s="37"/>
      <c r="I241" s="37"/>
      <c r="J241" s="37"/>
      <c r="K241" s="37"/>
      <c r="L241" s="37"/>
    </row>
    <row r="242" spans="1:12">
      <c r="A242" s="37"/>
      <c r="B242" s="126">
        <v>1</v>
      </c>
      <c r="C242" s="126" t="str">
        <f>VLOOKUP(B242,A239:B241,2,FALSE)</f>
        <v>Niet van toepassing</v>
      </c>
      <c r="D242" s="37"/>
      <c r="E242" s="37"/>
      <c r="F242" s="37"/>
      <c r="G242" s="37"/>
      <c r="H242" s="37"/>
      <c r="I242" s="37"/>
      <c r="J242" s="37"/>
      <c r="K242" s="37"/>
      <c r="L242" s="37"/>
    </row>
    <row r="243" spans="1:12">
      <c r="A243" s="37"/>
      <c r="B243" s="126"/>
      <c r="C243" s="126"/>
      <c r="D243" s="37"/>
      <c r="E243" s="37"/>
      <c r="F243" s="37"/>
      <c r="G243" s="37"/>
      <c r="H243" s="37"/>
      <c r="I243" s="37"/>
      <c r="J243" s="37"/>
      <c r="K243" s="37"/>
      <c r="L243" s="37"/>
    </row>
    <row r="244" spans="1:12">
      <c r="A244" s="37"/>
      <c r="B244" s="33" t="s">
        <v>119</v>
      </c>
      <c r="C244" s="126" t="str">
        <f>Hulpblad!C236&amp;" "&amp;Hulpblad!C242&amp;""</f>
        <v>Geen zonneboiler Niet van toepassing</v>
      </c>
      <c r="D244" s="37"/>
      <c r="E244" s="37"/>
      <c r="F244" s="37"/>
      <c r="G244" s="37"/>
      <c r="H244" s="37"/>
      <c r="I244" s="37"/>
      <c r="J244" s="37"/>
      <c r="K244" s="37"/>
      <c r="L244" s="37"/>
    </row>
    <row r="245" spans="1:12">
      <c r="A245" s="37"/>
      <c r="B245" s="34"/>
      <c r="C245" s="37"/>
      <c r="D245" s="37"/>
      <c r="E245" s="37"/>
      <c r="F245" s="37"/>
      <c r="G245" s="37"/>
      <c r="H245" s="37"/>
      <c r="I245" s="37"/>
      <c r="J245" s="37"/>
      <c r="K245" s="37"/>
      <c r="L245" s="37"/>
    </row>
    <row r="246" spans="1:12" ht="18.75">
      <c r="A246" s="37"/>
      <c r="B246" s="134" t="s">
        <v>36</v>
      </c>
      <c r="C246" s="37"/>
      <c r="D246" s="37"/>
      <c r="E246" s="37"/>
      <c r="F246" s="37"/>
      <c r="G246" s="37"/>
      <c r="H246" s="37"/>
      <c r="I246" s="37"/>
      <c r="J246" s="37"/>
      <c r="K246" s="37"/>
      <c r="L246" s="37"/>
    </row>
    <row r="247" spans="1:12">
      <c r="A247" s="37">
        <v>1</v>
      </c>
      <c r="B247" s="37" t="s">
        <v>113</v>
      </c>
      <c r="C247" s="37" t="s">
        <v>50</v>
      </c>
      <c r="D247" s="37" t="str">
        <f>""</f>
        <v/>
      </c>
      <c r="E247" s="37"/>
      <c r="F247" s="37"/>
      <c r="G247" s="37"/>
      <c r="H247" s="37"/>
      <c r="I247" s="37"/>
      <c r="J247" s="37"/>
      <c r="K247" s="37"/>
      <c r="L247" s="37"/>
    </row>
    <row r="248" spans="1:12">
      <c r="A248" s="37">
        <v>2</v>
      </c>
      <c r="B248" s="37" t="s">
        <v>112</v>
      </c>
      <c r="C248" s="37" t="s">
        <v>50</v>
      </c>
      <c r="D248" s="37" t="str">
        <f>""</f>
        <v/>
      </c>
      <c r="E248" s="37"/>
      <c r="F248" s="37"/>
      <c r="G248" s="37"/>
      <c r="H248" s="37"/>
      <c r="I248" s="37"/>
      <c r="J248" s="37"/>
      <c r="K248" s="37"/>
      <c r="L248" s="37"/>
    </row>
    <row r="249" spans="1:12">
      <c r="A249" s="37"/>
      <c r="B249" s="126">
        <v>1</v>
      </c>
      <c r="C249" s="126" t="str">
        <f>VLOOKUP(B249,A247:B248,2,FALSE)</f>
        <v>Geen aansluiting op een warmtenet</v>
      </c>
      <c r="D249" s="37"/>
      <c r="E249" s="37"/>
      <c r="F249" s="37"/>
      <c r="G249" s="37"/>
      <c r="H249" s="37"/>
      <c r="I249" s="37"/>
      <c r="J249" s="37"/>
      <c r="K249" s="37"/>
      <c r="L249" s="37"/>
    </row>
    <row r="250" spans="1:12">
      <c r="A250" s="37"/>
      <c r="B250" s="33" t="s">
        <v>116</v>
      </c>
      <c r="C250" s="126"/>
      <c r="D250" s="37"/>
      <c r="E250" s="37"/>
      <c r="F250" s="37"/>
      <c r="G250" s="37"/>
      <c r="H250" s="37"/>
      <c r="I250" s="37"/>
      <c r="J250" s="37"/>
      <c r="K250" s="37"/>
      <c r="L250" s="37"/>
    </row>
    <row r="251" spans="1:12">
      <c r="A251" s="37">
        <v>1</v>
      </c>
      <c r="B251" s="39" t="s">
        <v>50</v>
      </c>
      <c r="C251" s="126"/>
      <c r="D251" s="37"/>
      <c r="E251" s="37"/>
      <c r="F251" s="37"/>
      <c r="G251" s="37"/>
      <c r="H251" s="37"/>
      <c r="I251" s="37"/>
      <c r="J251" s="37"/>
      <c r="K251" s="37"/>
      <c r="L251" s="37"/>
    </row>
    <row r="252" spans="1:12">
      <c r="A252" s="37">
        <v>2</v>
      </c>
      <c r="B252" s="39" t="s">
        <v>109</v>
      </c>
      <c r="C252" s="126"/>
      <c r="D252" s="37"/>
      <c r="E252" s="37"/>
      <c r="F252" s="37"/>
      <c r="G252" s="37"/>
      <c r="H252" s="37"/>
      <c r="I252" s="37"/>
      <c r="J252" s="37"/>
      <c r="K252" s="37"/>
      <c r="L252" s="37"/>
    </row>
    <row r="253" spans="1:12">
      <c r="A253" s="37">
        <v>3</v>
      </c>
      <c r="B253" s="39" t="s">
        <v>92</v>
      </c>
      <c r="C253" s="37"/>
      <c r="D253" s="37"/>
      <c r="E253" s="37"/>
      <c r="F253" s="37"/>
      <c r="G253" s="37"/>
      <c r="H253" s="37"/>
      <c r="I253" s="37"/>
      <c r="J253" s="37"/>
      <c r="K253" s="37"/>
      <c r="L253" s="37"/>
    </row>
    <row r="254" spans="1:12">
      <c r="A254" s="37"/>
      <c r="B254" s="126">
        <v>1</v>
      </c>
      <c r="C254" s="126" t="str">
        <f>VLOOKUP(B254,A251:B253,2,FALSE)</f>
        <v>Niet van toepassing</v>
      </c>
      <c r="D254" s="37"/>
      <c r="E254" s="37"/>
      <c r="F254" s="37"/>
      <c r="G254" s="37"/>
      <c r="H254" s="37"/>
      <c r="I254" s="37"/>
      <c r="J254" s="37"/>
      <c r="K254" s="37"/>
      <c r="L254" s="37"/>
    </row>
    <row r="255" spans="1:12">
      <c r="A255" s="37"/>
      <c r="B255" s="39"/>
      <c r="C255" s="37"/>
      <c r="D255" s="37"/>
      <c r="E255" s="37"/>
      <c r="F255" s="37"/>
      <c r="G255" s="37"/>
      <c r="H255" s="37"/>
      <c r="I255" s="37"/>
      <c r="J255" s="37"/>
      <c r="K255" s="37"/>
      <c r="L255" s="37"/>
    </row>
    <row r="256" spans="1:12">
      <c r="A256" s="37"/>
      <c r="B256" s="33" t="s">
        <v>110</v>
      </c>
      <c r="C256" s="126" t="str">
        <f>Hulpblad!C249&amp;" "&amp;Hulpblad!C254&amp;""</f>
        <v>Geen aansluiting op een warmtenet Niet van toepassing</v>
      </c>
      <c r="D256" s="37"/>
      <c r="E256" s="37"/>
      <c r="F256" s="37"/>
      <c r="G256" s="37"/>
      <c r="H256" s="37"/>
      <c r="I256" s="37"/>
      <c r="J256" s="37"/>
      <c r="K256" s="37"/>
      <c r="L256" s="37"/>
    </row>
    <row r="257" spans="1:12">
      <c r="A257" s="37"/>
      <c r="B257" s="39"/>
      <c r="C257" s="37"/>
      <c r="D257" s="37"/>
      <c r="E257" s="37"/>
      <c r="F257" s="37"/>
      <c r="G257" s="37"/>
      <c r="H257" s="37"/>
      <c r="I257" s="37"/>
      <c r="J257" s="37"/>
      <c r="K257" s="37"/>
      <c r="L257" s="37"/>
    </row>
    <row r="258" spans="1:12" ht="18.75">
      <c r="A258" s="37"/>
      <c r="B258" s="134" t="s">
        <v>79</v>
      </c>
      <c r="C258" s="37"/>
      <c r="D258" s="37"/>
      <c r="E258" s="37"/>
      <c r="F258" s="37"/>
      <c r="G258" s="37"/>
      <c r="H258" s="37"/>
      <c r="I258" s="37"/>
      <c r="J258" s="37"/>
      <c r="K258" s="37"/>
      <c r="L258" s="37"/>
    </row>
    <row r="259" spans="1:12" ht="45.75" customHeight="1">
      <c r="A259" s="37"/>
      <c r="B259" s="37" t="s">
        <v>84</v>
      </c>
      <c r="C259" s="37"/>
      <c r="D259" s="37"/>
      <c r="E259" s="37" t="s">
        <v>80</v>
      </c>
      <c r="F259" s="37"/>
      <c r="G259" s="37"/>
      <c r="H259" s="138" t="s">
        <v>77</v>
      </c>
      <c r="I259" s="37"/>
      <c r="J259" s="37"/>
      <c r="K259" s="138" t="s">
        <v>81</v>
      </c>
      <c r="L259" s="37"/>
    </row>
    <row r="260" spans="1:12">
      <c r="A260" s="37">
        <v>1</v>
      </c>
      <c r="B260" s="37" t="s">
        <v>68</v>
      </c>
      <c r="C260" s="37"/>
      <c r="D260" s="37">
        <v>1</v>
      </c>
      <c r="E260" s="37" t="str">
        <f>IF(C262="Nee","Niet van toepassing","Nee")</f>
        <v>Niet van toepassing</v>
      </c>
      <c r="F260" s="37"/>
      <c r="G260" s="37">
        <v>1</v>
      </c>
      <c r="H260" s="39" t="str">
        <f>IF(OR(C262="Nee",F262="Nee"),"Niet van toepassing","Nee")</f>
        <v>Niet van toepassing</v>
      </c>
      <c r="I260" s="37"/>
      <c r="J260" s="37">
        <v>1</v>
      </c>
      <c r="K260" s="37" t="str">
        <f>IF(OR(C262="Nee",F262="Nee",I262="Ja"),"Niet van toepassing","Nee")</f>
        <v>Niet van toepassing</v>
      </c>
      <c r="L260" s="37"/>
    </row>
    <row r="261" spans="1:12">
      <c r="A261" s="37">
        <v>2</v>
      </c>
      <c r="B261" s="37" t="s">
        <v>67</v>
      </c>
      <c r="C261" s="37"/>
      <c r="D261" s="37">
        <v>2</v>
      </c>
      <c r="E261" s="37" t="str">
        <f>IF(C262="Nee","","Ja")</f>
        <v/>
      </c>
      <c r="F261" s="37"/>
      <c r="G261" s="37">
        <v>2</v>
      </c>
      <c r="H261" s="39" t="str">
        <f>IF(OR(C262="Nee",F262="Nee"),"","Ja")</f>
        <v/>
      </c>
      <c r="I261" s="37"/>
      <c r="J261" s="37">
        <v>2</v>
      </c>
      <c r="K261" s="37" t="str">
        <f>IF(OR(C262="Nee",F262="Nee",I262="Ja"),"","Ja")</f>
        <v/>
      </c>
      <c r="L261" s="37"/>
    </row>
    <row r="262" spans="1:12">
      <c r="A262" s="37"/>
      <c r="B262" s="126">
        <v>1</v>
      </c>
      <c r="C262" s="126" t="str">
        <f>VLOOKUP(B262,A260:B261,2,FALSE)</f>
        <v>Nee</v>
      </c>
      <c r="D262" s="37"/>
      <c r="E262" s="126">
        <v>1</v>
      </c>
      <c r="F262" s="126" t="str">
        <f>VLOOKUP(E262,D260:E261,2,FALSE)</f>
        <v>Niet van toepassing</v>
      </c>
      <c r="G262" s="37"/>
      <c r="H262" s="126">
        <v>1</v>
      </c>
      <c r="I262" s="126" t="str">
        <f>VLOOKUP(H262,G260:H261,2,FALSE)</f>
        <v>Niet van toepassing</v>
      </c>
      <c r="J262" s="37"/>
      <c r="K262" s="126">
        <v>1</v>
      </c>
      <c r="L262" s="126" t="str">
        <f>VLOOKUP(K262,J260:K261,2,FALSE)</f>
        <v>Niet van toepassing</v>
      </c>
    </row>
    <row r="263" spans="1:12">
      <c r="A263" s="37"/>
      <c r="B263" s="126"/>
      <c r="C263" s="126"/>
      <c r="D263" s="37"/>
      <c r="E263" s="37"/>
      <c r="F263" s="37"/>
      <c r="G263" s="37"/>
      <c r="H263" s="37"/>
      <c r="I263" s="37"/>
      <c r="J263" s="37"/>
      <c r="K263" s="37"/>
      <c r="L263" s="37"/>
    </row>
    <row r="264" spans="1:12">
      <c r="A264" s="37"/>
      <c r="B264" s="126"/>
      <c r="C264" s="126"/>
      <c r="D264" s="37"/>
      <c r="E264" s="37"/>
      <c r="F264" s="37"/>
      <c r="G264" s="37"/>
      <c r="H264" s="37"/>
      <c r="I264" s="37"/>
      <c r="J264" s="37"/>
      <c r="K264" s="37"/>
      <c r="L264" s="37"/>
    </row>
    <row r="265" spans="1:12">
      <c r="A265" s="149"/>
      <c r="B265" s="149"/>
      <c r="C265" s="150"/>
      <c r="D265" s="149"/>
      <c r="E265" s="149"/>
      <c r="F265" s="149"/>
      <c r="G265" s="149"/>
      <c r="H265" s="149"/>
      <c r="I265" s="149"/>
      <c r="J265" s="149"/>
      <c r="K265" s="149"/>
      <c r="L265" s="149"/>
    </row>
    <row r="266" spans="1:12">
      <c r="A266" s="149"/>
      <c r="B266" s="149"/>
      <c r="C266" s="150"/>
      <c r="D266" s="149"/>
      <c r="E266" s="149"/>
      <c r="F266" s="149"/>
      <c r="G266" s="149"/>
      <c r="H266" s="149"/>
      <c r="I266" s="149"/>
      <c r="J266" s="149"/>
      <c r="K266" s="149"/>
      <c r="L266" s="149"/>
    </row>
    <row r="267" spans="1:12">
      <c r="A267" s="37"/>
      <c r="B267" s="126"/>
      <c r="C267" s="126"/>
      <c r="D267" s="37"/>
      <c r="E267" s="37"/>
      <c r="F267" s="37"/>
      <c r="G267" s="37"/>
      <c r="H267" s="37"/>
      <c r="I267" s="37"/>
    </row>
    <row r="268" spans="1:12" ht="18.75">
      <c r="A268" s="134" t="s">
        <v>55</v>
      </c>
      <c r="B268" s="126"/>
      <c r="C268" s="126"/>
      <c r="D268" s="37"/>
      <c r="E268" s="37"/>
      <c r="F268" s="37"/>
      <c r="G268" s="37"/>
      <c r="H268" s="37"/>
      <c r="I268" s="37"/>
    </row>
    <row r="269" spans="1:12" ht="18.75">
      <c r="A269" s="134"/>
      <c r="B269" s="126"/>
      <c r="C269" s="126"/>
      <c r="D269" s="37"/>
      <c r="E269" s="37"/>
      <c r="F269" s="37"/>
      <c r="G269" s="37"/>
      <c r="H269" s="37"/>
      <c r="I269" s="37"/>
    </row>
    <row r="270" spans="1:12" ht="18.75">
      <c r="A270" s="134"/>
      <c r="B270" s="33" t="s">
        <v>442</v>
      </c>
      <c r="C270" s="126"/>
      <c r="D270" s="37"/>
      <c r="E270" s="37"/>
      <c r="F270" s="37"/>
      <c r="G270" s="37"/>
      <c r="H270" s="37"/>
      <c r="I270" s="37"/>
    </row>
    <row r="271" spans="1:12" ht="18.75">
      <c r="A271" s="134"/>
      <c r="B271" s="126"/>
      <c r="C271" s="126"/>
      <c r="D271" s="37"/>
      <c r="E271" s="37"/>
      <c r="F271" s="37"/>
      <c r="G271" s="37"/>
      <c r="H271" s="37"/>
      <c r="I271" s="37"/>
    </row>
    <row r="272" spans="1:12" ht="15" customHeight="1">
      <c r="A272" s="37"/>
      <c r="B272" s="34" t="s">
        <v>453</v>
      </c>
      <c r="C272" s="34" t="s">
        <v>373</v>
      </c>
      <c r="D272" s="124" t="s">
        <v>446</v>
      </c>
      <c r="E272" s="154" t="s">
        <v>25</v>
      </c>
      <c r="F272" s="154" t="s">
        <v>26</v>
      </c>
      <c r="G272" s="148"/>
      <c r="H272" s="36" t="s">
        <v>370</v>
      </c>
      <c r="I272" s="36" t="s">
        <v>371</v>
      </c>
    </row>
    <row r="273" spans="1:10" ht="15" customHeight="1">
      <c r="A273" s="37"/>
      <c r="B273" s="37" t="s">
        <v>29</v>
      </c>
      <c r="C273" s="37" t="s">
        <v>462</v>
      </c>
      <c r="D273" s="39">
        <v>0</v>
      </c>
      <c r="E273" s="37"/>
      <c r="F273" s="37">
        <v>45</v>
      </c>
      <c r="G273" s="37"/>
      <c r="H273" s="37">
        <v>0</v>
      </c>
      <c r="I273" s="37">
        <v>0</v>
      </c>
    </row>
    <row r="274" spans="1:10" ht="15" customHeight="1">
      <c r="A274" s="37"/>
      <c r="B274" s="37" t="s">
        <v>29</v>
      </c>
      <c r="C274" s="37" t="s">
        <v>463</v>
      </c>
      <c r="D274" s="39">
        <v>0</v>
      </c>
      <c r="E274" s="37"/>
      <c r="F274" s="37">
        <v>45</v>
      </c>
      <c r="G274" s="37"/>
      <c r="H274" s="37">
        <v>0</v>
      </c>
      <c r="I274" s="37">
        <v>0</v>
      </c>
    </row>
    <row r="275" spans="1:10" ht="15" customHeight="1">
      <c r="A275" s="37"/>
      <c r="B275" s="37" t="s">
        <v>29</v>
      </c>
      <c r="C275" s="37" t="s">
        <v>472</v>
      </c>
      <c r="D275" s="39">
        <v>0</v>
      </c>
      <c r="E275" s="37"/>
      <c r="F275" s="37">
        <v>45</v>
      </c>
      <c r="G275" s="37"/>
      <c r="H275" s="37">
        <v>0</v>
      </c>
      <c r="I275" s="37">
        <v>0</v>
      </c>
      <c r="J275" t="s">
        <v>28</v>
      </c>
    </row>
    <row r="276" spans="1:10" ht="15" customHeight="1">
      <c r="A276" s="37"/>
      <c r="B276" s="37" t="s">
        <v>29</v>
      </c>
      <c r="C276" s="37" t="s">
        <v>473</v>
      </c>
      <c r="D276" s="39">
        <v>0</v>
      </c>
      <c r="E276" s="37"/>
      <c r="F276" s="37">
        <v>45</v>
      </c>
      <c r="G276" s="37"/>
      <c r="H276" s="37">
        <v>0</v>
      </c>
      <c r="I276" s="37">
        <v>0</v>
      </c>
      <c r="J276" t="s">
        <v>28</v>
      </c>
    </row>
    <row r="277" spans="1:10" ht="15" customHeight="1">
      <c r="A277" s="37"/>
      <c r="B277" s="37" t="s">
        <v>29</v>
      </c>
      <c r="C277" s="37" t="s">
        <v>500</v>
      </c>
      <c r="D277" s="39">
        <v>0</v>
      </c>
      <c r="E277" s="37"/>
      <c r="F277" s="37">
        <v>45</v>
      </c>
      <c r="G277" s="37"/>
      <c r="H277" s="37">
        <v>0</v>
      </c>
      <c r="I277" s="37">
        <v>0</v>
      </c>
      <c r="J277" t="s">
        <v>28</v>
      </c>
    </row>
    <row r="278" spans="1:10" ht="15" customHeight="1">
      <c r="A278" s="37"/>
      <c r="B278" s="37" t="s">
        <v>29</v>
      </c>
      <c r="C278" s="37" t="s">
        <v>501</v>
      </c>
      <c r="D278" s="39">
        <v>0</v>
      </c>
      <c r="E278" s="37"/>
      <c r="F278" s="37">
        <v>45</v>
      </c>
      <c r="G278" s="37"/>
      <c r="H278" s="37">
        <v>0</v>
      </c>
      <c r="I278" s="37">
        <v>0</v>
      </c>
      <c r="J278" t="s">
        <v>28</v>
      </c>
    </row>
    <row r="279" spans="1:10" ht="18.75">
      <c r="A279" s="134"/>
      <c r="B279" s="126"/>
      <c r="C279" s="126"/>
      <c r="D279" s="37"/>
      <c r="E279" s="37"/>
      <c r="F279" s="37"/>
      <c r="G279" s="37"/>
      <c r="H279" s="37"/>
      <c r="I279" s="37"/>
    </row>
    <row r="280" spans="1:10" ht="15" customHeight="1">
      <c r="A280" s="37"/>
      <c r="B280" s="37" t="s">
        <v>29</v>
      </c>
      <c r="C280" s="37" t="s">
        <v>464</v>
      </c>
      <c r="D280" s="39">
        <v>0</v>
      </c>
      <c r="E280" s="37"/>
      <c r="F280" s="37">
        <v>45</v>
      </c>
      <c r="G280" s="37"/>
      <c r="H280" s="37">
        <v>0</v>
      </c>
      <c r="I280" s="37">
        <v>0</v>
      </c>
    </row>
    <row r="281" spans="1:10" ht="15" customHeight="1">
      <c r="A281" s="37"/>
      <c r="B281" s="37" t="s">
        <v>29</v>
      </c>
      <c r="C281" s="37" t="s">
        <v>465</v>
      </c>
      <c r="D281" s="39">
        <v>0</v>
      </c>
      <c r="E281" s="37"/>
      <c r="F281" s="37">
        <v>45</v>
      </c>
      <c r="G281" s="37"/>
      <c r="H281" s="37">
        <v>0</v>
      </c>
      <c r="I281" s="37">
        <v>0</v>
      </c>
    </row>
    <row r="282" spans="1:10" ht="15" customHeight="1">
      <c r="A282" s="37"/>
      <c r="B282" s="37" t="s">
        <v>29</v>
      </c>
      <c r="C282" s="37" t="s">
        <v>474</v>
      </c>
      <c r="D282" s="39">
        <v>0</v>
      </c>
      <c r="E282" s="37"/>
      <c r="F282" s="37">
        <v>45</v>
      </c>
      <c r="G282" s="37"/>
      <c r="H282" s="37">
        <v>0</v>
      </c>
      <c r="I282" s="37">
        <v>0</v>
      </c>
      <c r="J282" t="s">
        <v>28</v>
      </c>
    </row>
    <row r="283" spans="1:10" ht="15" customHeight="1">
      <c r="A283" s="37"/>
      <c r="B283" s="37" t="s">
        <v>29</v>
      </c>
      <c r="C283" s="37" t="s">
        <v>475</v>
      </c>
      <c r="D283" s="39">
        <v>0</v>
      </c>
      <c r="E283" s="37"/>
      <c r="F283" s="37">
        <v>45</v>
      </c>
      <c r="G283" s="37"/>
      <c r="H283" s="37">
        <v>0</v>
      </c>
      <c r="I283" s="37">
        <v>0</v>
      </c>
      <c r="J283" t="s">
        <v>28</v>
      </c>
    </row>
    <row r="284" spans="1:10" ht="15" customHeight="1">
      <c r="A284" s="37"/>
      <c r="B284" s="37" t="s">
        <v>29</v>
      </c>
      <c r="C284" s="37" t="s">
        <v>502</v>
      </c>
      <c r="D284" s="39">
        <v>0</v>
      </c>
      <c r="E284" s="37"/>
      <c r="F284" s="37">
        <v>45</v>
      </c>
      <c r="G284" s="37"/>
      <c r="H284" s="37">
        <v>0</v>
      </c>
      <c r="I284" s="37">
        <v>0</v>
      </c>
      <c r="J284" t="s">
        <v>28</v>
      </c>
    </row>
    <row r="285" spans="1:10" ht="15" customHeight="1">
      <c r="A285" s="37"/>
      <c r="B285" s="37" t="s">
        <v>29</v>
      </c>
      <c r="C285" s="37" t="s">
        <v>507</v>
      </c>
      <c r="D285" s="39">
        <v>0</v>
      </c>
      <c r="E285" s="37"/>
      <c r="F285" s="37">
        <v>45</v>
      </c>
      <c r="G285" s="37"/>
      <c r="H285" s="37">
        <v>0</v>
      </c>
      <c r="I285" s="37">
        <v>0</v>
      </c>
      <c r="J285" t="s">
        <v>28</v>
      </c>
    </row>
    <row r="286" spans="1:10" ht="15" customHeight="1">
      <c r="A286" s="37"/>
      <c r="B286" s="37"/>
      <c r="C286" s="37"/>
      <c r="D286" s="39"/>
      <c r="E286" s="37"/>
      <c r="F286" s="37"/>
      <c r="G286" s="37"/>
      <c r="H286" s="37"/>
      <c r="I286" s="37"/>
    </row>
    <row r="287" spans="1:10" ht="15" customHeight="1">
      <c r="A287" s="37"/>
      <c r="B287" s="34" t="s">
        <v>454</v>
      </c>
      <c r="C287" s="34" t="s">
        <v>443</v>
      </c>
      <c r="D287" s="124" t="s">
        <v>445</v>
      </c>
      <c r="E287" s="154" t="s">
        <v>25</v>
      </c>
      <c r="F287" s="154" t="s">
        <v>26</v>
      </c>
      <c r="G287" s="148"/>
      <c r="H287" s="36" t="s">
        <v>370</v>
      </c>
      <c r="I287" s="36" t="s">
        <v>371</v>
      </c>
    </row>
    <row r="288" spans="1:10" ht="15" customHeight="1">
      <c r="A288" s="37"/>
      <c r="B288" s="37" t="s">
        <v>29</v>
      </c>
      <c r="C288" s="37" t="s">
        <v>456</v>
      </c>
      <c r="D288" s="39">
        <v>0</v>
      </c>
      <c r="E288" s="37">
        <v>8</v>
      </c>
      <c r="F288" s="37">
        <v>45</v>
      </c>
      <c r="G288" s="37"/>
      <c r="H288" s="37">
        <v>0</v>
      </c>
      <c r="I288" s="37">
        <v>0</v>
      </c>
    </row>
    <row r="289" spans="1:10" ht="15" customHeight="1">
      <c r="A289" s="37"/>
      <c r="B289" s="37" t="s">
        <v>29</v>
      </c>
      <c r="C289" s="37" t="s">
        <v>457</v>
      </c>
      <c r="D289" s="39">
        <v>0</v>
      </c>
      <c r="E289" s="37">
        <v>8</v>
      </c>
      <c r="F289" s="37">
        <v>45</v>
      </c>
      <c r="G289" s="37"/>
      <c r="H289" s="37">
        <v>0</v>
      </c>
      <c r="I289" s="37">
        <v>0</v>
      </c>
    </row>
    <row r="290" spans="1:10" ht="15" customHeight="1">
      <c r="A290" s="37"/>
      <c r="B290" s="37" t="s">
        <v>29</v>
      </c>
      <c r="C290" s="37" t="s">
        <v>476</v>
      </c>
      <c r="D290" s="39">
        <v>0</v>
      </c>
      <c r="E290" s="37">
        <v>8</v>
      </c>
      <c r="F290" s="37">
        <v>45</v>
      </c>
      <c r="G290" s="37"/>
      <c r="H290" s="37">
        <v>0</v>
      </c>
      <c r="I290" s="37">
        <v>0</v>
      </c>
      <c r="J290" t="s">
        <v>28</v>
      </c>
    </row>
    <row r="291" spans="1:10" ht="15" customHeight="1">
      <c r="A291" s="37"/>
      <c r="B291" s="37" t="s">
        <v>29</v>
      </c>
      <c r="C291" s="37" t="s">
        <v>477</v>
      </c>
      <c r="D291" s="39">
        <v>0</v>
      </c>
      <c r="E291" s="37">
        <v>8</v>
      </c>
      <c r="F291" s="37">
        <v>45</v>
      </c>
      <c r="G291" s="37"/>
      <c r="H291" s="37">
        <v>0</v>
      </c>
      <c r="I291" s="37">
        <v>0</v>
      </c>
      <c r="J291" t="s">
        <v>28</v>
      </c>
    </row>
    <row r="292" spans="1:10" ht="15" customHeight="1">
      <c r="A292" s="37"/>
      <c r="B292" s="37" t="s">
        <v>29</v>
      </c>
      <c r="C292" s="37" t="s">
        <v>503</v>
      </c>
      <c r="D292" s="39">
        <v>0</v>
      </c>
      <c r="E292" s="37">
        <v>8</v>
      </c>
      <c r="F292" s="37">
        <v>45</v>
      </c>
      <c r="G292" s="37"/>
      <c r="H292" s="37">
        <v>0</v>
      </c>
      <c r="I292" s="37">
        <v>0</v>
      </c>
      <c r="J292" t="s">
        <v>28</v>
      </c>
    </row>
    <row r="293" spans="1:10" ht="15" customHeight="1">
      <c r="A293" s="37"/>
      <c r="B293" s="37" t="s">
        <v>29</v>
      </c>
      <c r="C293" s="37" t="s">
        <v>508</v>
      </c>
      <c r="D293" s="39">
        <v>0</v>
      </c>
      <c r="E293" s="37">
        <v>8</v>
      </c>
      <c r="F293" s="37">
        <v>45</v>
      </c>
      <c r="G293" s="37"/>
      <c r="H293" s="37">
        <v>0</v>
      </c>
      <c r="I293" s="37">
        <v>0</v>
      </c>
      <c r="J293" t="s">
        <v>28</v>
      </c>
    </row>
    <row r="294" spans="1:10" ht="15" customHeight="1">
      <c r="A294" s="37"/>
      <c r="B294" s="34"/>
      <c r="C294" s="34"/>
      <c r="D294" s="124"/>
      <c r="E294" s="154"/>
      <c r="F294" s="154"/>
      <c r="G294" s="148"/>
      <c r="H294" s="36"/>
      <c r="I294" s="36"/>
    </row>
    <row r="295" spans="1:10" ht="15" customHeight="1">
      <c r="A295" s="37"/>
      <c r="B295" s="37" t="s">
        <v>29</v>
      </c>
      <c r="C295" s="37" t="s">
        <v>448</v>
      </c>
      <c r="D295" s="39">
        <v>23</v>
      </c>
      <c r="E295" s="37">
        <v>8</v>
      </c>
      <c r="F295" s="37">
        <v>45</v>
      </c>
      <c r="G295" s="37"/>
      <c r="H295" s="147">
        <f>IF(AND($C$187=1,$B$98=1),0,
IF(AND($C$187=1,$B$98&gt;1),1,
IF($C$187&gt;1,2,0)))</f>
        <v>0</v>
      </c>
      <c r="I295" s="37">
        <f>D295*H295</f>
        <v>0</v>
      </c>
    </row>
    <row r="296" spans="1:10" ht="15" customHeight="1">
      <c r="A296" s="37"/>
      <c r="B296" s="37" t="s">
        <v>29</v>
      </c>
      <c r="C296" s="37" t="s">
        <v>449</v>
      </c>
      <c r="D296" s="39">
        <v>65.5</v>
      </c>
      <c r="E296" s="37">
        <v>8</v>
      </c>
      <c r="F296" s="37">
        <v>45</v>
      </c>
      <c r="G296" s="37"/>
      <c r="H296" s="147">
        <f>IF(AND($C$187=1,$B$110=1),0,
IF(AND($C$187=1,$B$110&gt;1),1,
IF($C$187&gt;1,2,0)))</f>
        <v>0</v>
      </c>
      <c r="I296" s="37">
        <f>D296*H296</f>
        <v>0</v>
      </c>
    </row>
    <row r="297" spans="1:10" ht="15" customHeight="1">
      <c r="A297" s="37"/>
      <c r="B297" s="37" t="s">
        <v>29</v>
      </c>
      <c r="C297" s="37" t="s">
        <v>478</v>
      </c>
      <c r="D297" s="39">
        <v>10</v>
      </c>
      <c r="E297" s="37">
        <v>8</v>
      </c>
      <c r="F297" s="37">
        <v>45</v>
      </c>
      <c r="G297" s="37"/>
      <c r="H297" s="147">
        <f>IF(AND($C$187=1,$B$122=1),0,
IF(AND($C$187=1,$B$122&gt;1),1,
IF($C$187&gt;1,2,0)))</f>
        <v>0</v>
      </c>
      <c r="I297" s="37">
        <f t="shared" ref="I297:I300" si="2">D297*H297</f>
        <v>0</v>
      </c>
      <c r="J297" t="s">
        <v>28</v>
      </c>
    </row>
    <row r="298" spans="1:10" ht="15" customHeight="1">
      <c r="A298" s="37"/>
      <c r="B298" s="37" t="s">
        <v>29</v>
      </c>
      <c r="C298" s="37" t="s">
        <v>481</v>
      </c>
      <c r="D298" s="39">
        <v>45</v>
      </c>
      <c r="E298" s="37">
        <v>8</v>
      </c>
      <c r="F298" s="37">
        <v>45</v>
      </c>
      <c r="G298" s="37"/>
      <c r="H298" s="147">
        <f>IF(AND($C$187=1,$B$134=1),0,
IF(AND($C$187=1,$B$134&gt;1),1,
IF($C$187&gt;1,2,0)))</f>
        <v>0</v>
      </c>
      <c r="I298" s="37">
        <f t="shared" si="2"/>
        <v>0</v>
      </c>
      <c r="J298" t="s">
        <v>28</v>
      </c>
    </row>
    <row r="299" spans="1:10" ht="15" customHeight="1">
      <c r="A299" s="37"/>
      <c r="B299" s="37" t="s">
        <v>29</v>
      </c>
      <c r="C299" s="37" t="s">
        <v>504</v>
      </c>
      <c r="D299" s="39">
        <v>23</v>
      </c>
      <c r="E299" s="37">
        <v>8</v>
      </c>
      <c r="F299" s="37">
        <v>45</v>
      </c>
      <c r="G299" s="37"/>
      <c r="H299" s="147">
        <f>IF(AND($C$187=1,$B$146=1),0,
IF(AND($C$187=1,$B$146&gt;1),1,
IF($C$187&gt;1,2,0)))</f>
        <v>0</v>
      </c>
      <c r="I299" s="37">
        <f>D299*H299</f>
        <v>0</v>
      </c>
      <c r="J299" t="s">
        <v>28</v>
      </c>
    </row>
    <row r="300" spans="1:10" ht="15" customHeight="1">
      <c r="A300" s="37"/>
      <c r="B300" s="37" t="s">
        <v>29</v>
      </c>
      <c r="C300" s="37" t="s">
        <v>509</v>
      </c>
      <c r="D300" s="39">
        <v>65.5</v>
      </c>
      <c r="E300" s="37">
        <v>8</v>
      </c>
      <c r="F300" s="37">
        <v>45</v>
      </c>
      <c r="G300" s="37"/>
      <c r="H300" s="147">
        <f>IF(AND($C$187=1,$B$158=1),0,
IF(AND($C$187=1,$B$158&gt;1),1,
IF($C$187&gt;1,2,0)))</f>
        <v>0</v>
      </c>
      <c r="I300" s="37">
        <f t="shared" si="2"/>
        <v>0</v>
      </c>
      <c r="J300" t="s">
        <v>28</v>
      </c>
    </row>
    <row r="301" spans="1:10" ht="15" customHeight="1">
      <c r="A301" s="37"/>
      <c r="B301" s="37"/>
      <c r="C301" s="37"/>
      <c r="D301" s="37"/>
      <c r="E301" s="37"/>
      <c r="F301" s="37"/>
      <c r="G301" s="37"/>
      <c r="H301" s="37"/>
      <c r="I301" s="37"/>
    </row>
    <row r="302" spans="1:10" ht="15" customHeight="1">
      <c r="A302" s="37"/>
      <c r="B302" s="34" t="s">
        <v>455</v>
      </c>
      <c r="C302" s="34" t="s">
        <v>289</v>
      </c>
      <c r="D302" s="41" t="s">
        <v>447</v>
      </c>
      <c r="E302" s="37"/>
      <c r="F302" s="37"/>
      <c r="G302" s="37"/>
      <c r="H302" s="36" t="s">
        <v>370</v>
      </c>
      <c r="I302" s="36" t="s">
        <v>371</v>
      </c>
    </row>
    <row r="303" spans="1:10" ht="15" customHeight="1">
      <c r="A303" s="37"/>
      <c r="B303" s="37" t="s">
        <v>29</v>
      </c>
      <c r="C303" s="37" t="s">
        <v>458</v>
      </c>
      <c r="D303" s="37">
        <v>0</v>
      </c>
      <c r="E303" s="37">
        <v>3</v>
      </c>
      <c r="F303" s="37">
        <v>45</v>
      </c>
      <c r="G303" s="37"/>
      <c r="H303" s="37">
        <v>0</v>
      </c>
      <c r="I303" s="37">
        <v>0</v>
      </c>
    </row>
    <row r="304" spans="1:10" ht="15" customHeight="1">
      <c r="A304" s="37"/>
      <c r="B304" s="37" t="s">
        <v>29</v>
      </c>
      <c r="C304" s="37" t="s">
        <v>466</v>
      </c>
      <c r="D304" s="37">
        <v>0</v>
      </c>
      <c r="E304" s="37">
        <v>3</v>
      </c>
      <c r="F304" s="37">
        <v>45</v>
      </c>
      <c r="G304" s="37"/>
      <c r="H304" s="37">
        <v>0</v>
      </c>
      <c r="I304" s="37">
        <v>0</v>
      </c>
      <c r="J304" t="s">
        <v>28</v>
      </c>
    </row>
    <row r="305" spans="1:10" ht="15" customHeight="1">
      <c r="A305" s="37"/>
      <c r="B305" s="37" t="s">
        <v>29</v>
      </c>
      <c r="C305" s="37" t="s">
        <v>482</v>
      </c>
      <c r="D305" s="37">
        <v>0</v>
      </c>
      <c r="E305" s="37">
        <v>3</v>
      </c>
      <c r="F305" s="37">
        <v>45</v>
      </c>
      <c r="G305" s="37"/>
      <c r="H305" s="37">
        <v>0</v>
      </c>
      <c r="I305" s="37">
        <v>0</v>
      </c>
    </row>
    <row r="306" spans="1:10" ht="15" customHeight="1">
      <c r="A306" s="37"/>
      <c r="B306" s="37" t="s">
        <v>29</v>
      </c>
      <c r="C306" s="37" t="s">
        <v>483</v>
      </c>
      <c r="D306" s="37">
        <v>0</v>
      </c>
      <c r="E306" s="37">
        <v>3</v>
      </c>
      <c r="F306" s="37">
        <v>45</v>
      </c>
      <c r="G306" s="37"/>
      <c r="H306" s="37">
        <v>0</v>
      </c>
      <c r="I306" s="37">
        <v>0</v>
      </c>
    </row>
    <row r="307" spans="1:10" ht="15" customHeight="1">
      <c r="A307" s="37"/>
      <c r="B307" s="37" t="s">
        <v>29</v>
      </c>
      <c r="C307" s="37" t="s">
        <v>505</v>
      </c>
      <c r="D307" s="37">
        <v>0</v>
      </c>
      <c r="E307" s="39">
        <v>3</v>
      </c>
      <c r="F307" s="37">
        <v>45</v>
      </c>
      <c r="G307" s="37"/>
      <c r="H307" s="37">
        <v>0</v>
      </c>
      <c r="I307" s="37"/>
      <c r="J307" t="s">
        <v>28</v>
      </c>
    </row>
    <row r="308" spans="1:10" ht="15" customHeight="1">
      <c r="A308" s="37"/>
      <c r="B308" s="37" t="s">
        <v>29</v>
      </c>
      <c r="C308" s="37" t="s">
        <v>510</v>
      </c>
      <c r="D308" s="37">
        <v>0</v>
      </c>
      <c r="E308" s="37">
        <v>3</v>
      </c>
      <c r="F308" s="37">
        <v>45</v>
      </c>
      <c r="G308" s="37"/>
      <c r="H308" s="37">
        <v>0</v>
      </c>
      <c r="I308" s="37">
        <v>0</v>
      </c>
      <c r="J308" t="s">
        <v>28</v>
      </c>
    </row>
    <row r="309" spans="1:10" ht="15" customHeight="1">
      <c r="A309" s="37"/>
      <c r="B309" s="34"/>
      <c r="C309" s="34"/>
      <c r="D309" s="41"/>
      <c r="E309" s="37"/>
      <c r="F309" s="37"/>
      <c r="G309" s="37"/>
      <c r="H309" s="36"/>
      <c r="I309" s="36"/>
    </row>
    <row r="310" spans="1:10" ht="15" customHeight="1">
      <c r="A310" s="37"/>
      <c r="B310" s="37" t="s">
        <v>29</v>
      </c>
      <c r="C310" s="37" t="s">
        <v>450</v>
      </c>
      <c r="D310" s="37">
        <v>25</v>
      </c>
      <c r="E310" s="37">
        <v>3</v>
      </c>
      <c r="F310" s="37">
        <v>45</v>
      </c>
      <c r="G310" s="37"/>
      <c r="H310" s="147">
        <f>IF(AND($C$187=1,$B$98=1),0,
IF(AND($C$187=1,$B$98&gt;1),1,
IF($C$187&gt;1,2,0)))</f>
        <v>0</v>
      </c>
      <c r="I310" s="37">
        <f t="shared" ref="I310:I315" si="3">D310*H310</f>
        <v>0</v>
      </c>
    </row>
    <row r="311" spans="1:10" ht="15" customHeight="1">
      <c r="A311" s="37"/>
      <c r="B311" s="37" t="s">
        <v>29</v>
      </c>
      <c r="C311" s="37" t="s">
        <v>451</v>
      </c>
      <c r="D311" s="37">
        <v>111</v>
      </c>
      <c r="E311" s="37">
        <v>3</v>
      </c>
      <c r="F311" s="37">
        <v>45</v>
      </c>
      <c r="G311" s="37"/>
      <c r="H311" s="147">
        <f>IF(AND($C$187=1,$B$110=1),0,
IF(AND($C$187=1,$B$110&gt;1),1,
IF($C$187&gt;1,2,0)))</f>
        <v>0</v>
      </c>
      <c r="I311" s="37">
        <f>D311*H311</f>
        <v>0</v>
      </c>
      <c r="J311" t="s">
        <v>28</v>
      </c>
    </row>
    <row r="312" spans="1:10" ht="15" customHeight="1">
      <c r="A312" s="37"/>
      <c r="B312" s="37" t="s">
        <v>29</v>
      </c>
      <c r="C312" s="37" t="s">
        <v>479</v>
      </c>
      <c r="D312" s="37">
        <v>10</v>
      </c>
      <c r="E312" s="37">
        <v>3</v>
      </c>
      <c r="F312" s="37">
        <v>45</v>
      </c>
      <c r="G312" s="37"/>
      <c r="H312" s="147">
        <f>IF(AND($C$187=1,$B$122=1),0,
IF(AND($C$187=1,$B$122&gt;1),1,
IF($C$187&gt;1,2,0)))</f>
        <v>0</v>
      </c>
      <c r="I312" s="37">
        <f t="shared" si="3"/>
        <v>0</v>
      </c>
    </row>
    <row r="313" spans="1:10" ht="15" customHeight="1">
      <c r="A313" s="37"/>
      <c r="B313" s="37" t="s">
        <v>29</v>
      </c>
      <c r="C313" s="37" t="s">
        <v>480</v>
      </c>
      <c r="D313" s="37">
        <v>45</v>
      </c>
      <c r="E313" s="37">
        <v>3</v>
      </c>
      <c r="F313" s="37">
        <v>45</v>
      </c>
      <c r="G313" s="37"/>
      <c r="H313" s="147">
        <f>IF(AND($C$187=1,$B$134=1),0,
IF(AND($C$187=1,$B$134&gt;1),1,
IF($C$187&gt;1,2,0)))</f>
        <v>0</v>
      </c>
      <c r="I313" s="37">
        <f t="shared" si="3"/>
        <v>0</v>
      </c>
    </row>
    <row r="314" spans="1:10" ht="15" customHeight="1">
      <c r="A314" s="37"/>
      <c r="B314" s="37" t="s">
        <v>29</v>
      </c>
      <c r="C314" s="37" t="s">
        <v>506</v>
      </c>
      <c r="D314" s="37">
        <v>23</v>
      </c>
      <c r="E314" s="39">
        <v>3</v>
      </c>
      <c r="F314" s="37">
        <v>45</v>
      </c>
      <c r="G314" s="37"/>
      <c r="H314" s="147">
        <f>IF(AND($C$187=1,$B$146=1),0,
IF(AND($C$187=1,$B$146&gt;1),1,
IF($C$187&gt;1,2,0)))</f>
        <v>0</v>
      </c>
      <c r="I314" s="37">
        <f>D314*H314</f>
        <v>0</v>
      </c>
      <c r="J314" t="s">
        <v>28</v>
      </c>
    </row>
    <row r="315" spans="1:10" ht="15" customHeight="1">
      <c r="A315" s="37"/>
      <c r="B315" s="37" t="s">
        <v>29</v>
      </c>
      <c r="C315" s="37" t="s">
        <v>511</v>
      </c>
      <c r="D315" s="37">
        <v>65.5</v>
      </c>
      <c r="E315" s="37">
        <v>3</v>
      </c>
      <c r="F315" s="37">
        <v>45</v>
      </c>
      <c r="G315" s="37"/>
      <c r="H315" s="147">
        <f>IF(AND($C$187=1,$B$158=1),0,
IF(AND($C$187=1,$B$158&gt;1),1,
IF($C$187&gt;1,2,0)))</f>
        <v>0</v>
      </c>
      <c r="I315" s="37">
        <f t="shared" si="3"/>
        <v>0</v>
      </c>
      <c r="J315" t="s">
        <v>28</v>
      </c>
    </row>
    <row r="316" spans="1:10" ht="15" customHeight="1">
      <c r="A316" s="37"/>
      <c r="B316" s="37"/>
      <c r="C316" s="37"/>
      <c r="D316" s="39"/>
      <c r="E316" s="39"/>
      <c r="F316" s="37"/>
      <c r="G316" s="37"/>
      <c r="H316" s="37"/>
      <c r="I316" s="37"/>
      <c r="J316" t="s">
        <v>28</v>
      </c>
    </row>
    <row r="317" spans="1:10" ht="15" customHeight="1">
      <c r="A317" s="37"/>
      <c r="B317" s="37"/>
      <c r="C317" s="37"/>
      <c r="D317" s="39"/>
      <c r="E317" s="39"/>
      <c r="F317" s="37"/>
      <c r="G317" s="37"/>
      <c r="H317" s="37"/>
      <c r="I317" s="37"/>
    </row>
    <row r="318" spans="1:10" ht="15" customHeight="1">
      <c r="A318" s="37"/>
      <c r="B318" s="34" t="s">
        <v>411</v>
      </c>
      <c r="C318" s="34" t="s">
        <v>373</v>
      </c>
      <c r="D318" s="123" t="s">
        <v>444</v>
      </c>
      <c r="E318" s="41" t="s">
        <v>281</v>
      </c>
      <c r="F318" s="38" t="s">
        <v>284</v>
      </c>
      <c r="G318" s="124" t="s">
        <v>282</v>
      </c>
      <c r="H318" s="36" t="s">
        <v>370</v>
      </c>
      <c r="I318" s="36" t="s">
        <v>371</v>
      </c>
    </row>
    <row r="319" spans="1:10" ht="15" customHeight="1">
      <c r="A319" s="37"/>
      <c r="B319" s="37" t="s">
        <v>4</v>
      </c>
      <c r="C319" s="37" t="s">
        <v>399</v>
      </c>
      <c r="D319" s="39">
        <v>0</v>
      </c>
      <c r="E319" s="37"/>
      <c r="F319" s="37"/>
      <c r="G319" s="37">
        <v>0</v>
      </c>
      <c r="H319" s="37">
        <v>0</v>
      </c>
      <c r="I319" s="37">
        <v>0</v>
      </c>
    </row>
    <row r="320" spans="1:10" ht="15" customHeight="1">
      <c r="A320" s="37"/>
      <c r="B320" s="37" t="s">
        <v>4</v>
      </c>
      <c r="C320" s="37" t="s">
        <v>400</v>
      </c>
      <c r="D320" s="39">
        <v>0</v>
      </c>
      <c r="E320" s="37"/>
      <c r="F320" s="37"/>
      <c r="G320" s="37">
        <v>0</v>
      </c>
      <c r="H320" s="37">
        <v>0</v>
      </c>
      <c r="I320" s="37">
        <v>0</v>
      </c>
    </row>
    <row r="321" spans="1:9" ht="15" customHeight="1">
      <c r="A321" s="37"/>
      <c r="B321" s="37" t="s">
        <v>5</v>
      </c>
      <c r="C321" s="37" t="s">
        <v>401</v>
      </c>
      <c r="D321" s="39">
        <v>0</v>
      </c>
      <c r="E321" s="37"/>
      <c r="F321" s="37"/>
      <c r="G321" s="37">
        <v>0</v>
      </c>
      <c r="H321" s="37">
        <v>0</v>
      </c>
      <c r="I321" s="37">
        <v>0</v>
      </c>
    </row>
    <row r="322" spans="1:9" ht="15" customHeight="1">
      <c r="A322" s="37"/>
      <c r="B322" s="37" t="s">
        <v>6</v>
      </c>
      <c r="C322" s="37" t="s">
        <v>402</v>
      </c>
      <c r="D322" s="39">
        <v>0</v>
      </c>
      <c r="E322" s="37"/>
      <c r="F322" s="37"/>
      <c r="G322" s="37">
        <v>0</v>
      </c>
      <c r="H322" s="37">
        <v>0</v>
      </c>
      <c r="I322" s="37">
        <v>0</v>
      </c>
    </row>
    <row r="323" spans="1:9" ht="15" customHeight="1">
      <c r="A323" s="37"/>
      <c r="B323" s="37" t="s">
        <v>8</v>
      </c>
      <c r="C323" s="37" t="s">
        <v>403</v>
      </c>
      <c r="D323" s="39">
        <v>0</v>
      </c>
      <c r="E323" s="37"/>
      <c r="F323" s="37"/>
      <c r="G323" s="37">
        <v>0</v>
      </c>
      <c r="H323" s="37">
        <v>0</v>
      </c>
      <c r="I323" s="37">
        <v>0</v>
      </c>
    </row>
    <row r="324" spans="1:9" ht="15" customHeight="1">
      <c r="A324" s="37"/>
      <c r="B324" s="37" t="s">
        <v>8</v>
      </c>
      <c r="C324" s="37" t="s">
        <v>386</v>
      </c>
      <c r="D324" s="39">
        <v>0</v>
      </c>
      <c r="E324" s="37"/>
      <c r="F324" s="37"/>
      <c r="G324" s="37">
        <v>0</v>
      </c>
      <c r="H324" s="37">
        <v>0</v>
      </c>
      <c r="I324" s="37">
        <v>0</v>
      </c>
    </row>
    <row r="325" spans="1:9" ht="15" customHeight="1">
      <c r="A325" s="37"/>
      <c r="B325" s="37"/>
      <c r="C325" s="37"/>
      <c r="D325" s="39"/>
      <c r="E325" s="37"/>
      <c r="F325" s="37"/>
      <c r="G325" s="37"/>
      <c r="H325" s="37"/>
      <c r="I325" s="37"/>
    </row>
    <row r="326" spans="1:9" ht="15" customHeight="1">
      <c r="A326" s="37"/>
      <c r="B326" s="37" t="s">
        <v>4</v>
      </c>
      <c r="C326" s="37" t="s">
        <v>374</v>
      </c>
      <c r="D326" s="39">
        <v>0</v>
      </c>
      <c r="E326" s="39">
        <v>20</v>
      </c>
      <c r="F326" s="37">
        <v>200</v>
      </c>
      <c r="G326" s="37">
        <v>0</v>
      </c>
      <c r="H326" s="37">
        <v>0</v>
      </c>
      <c r="I326" s="37">
        <v>0</v>
      </c>
    </row>
    <row r="327" spans="1:9" ht="15" customHeight="1">
      <c r="A327" s="37"/>
      <c r="B327" s="37" t="s">
        <v>4</v>
      </c>
      <c r="C327" s="37" t="s">
        <v>375</v>
      </c>
      <c r="D327" s="39">
        <v>0</v>
      </c>
      <c r="E327" s="39">
        <v>20</v>
      </c>
      <c r="F327" s="37">
        <v>130</v>
      </c>
      <c r="G327" s="37">
        <v>0</v>
      </c>
      <c r="H327" s="37">
        <v>0</v>
      </c>
      <c r="I327" s="37">
        <v>0</v>
      </c>
    </row>
    <row r="328" spans="1:9" ht="15" customHeight="1">
      <c r="A328" s="37"/>
      <c r="B328" s="37" t="s">
        <v>5</v>
      </c>
      <c r="C328" s="37" t="s">
        <v>376</v>
      </c>
      <c r="D328" s="39">
        <v>0</v>
      </c>
      <c r="E328" s="39">
        <v>10</v>
      </c>
      <c r="F328" s="37">
        <v>170</v>
      </c>
      <c r="G328" s="37">
        <v>0</v>
      </c>
      <c r="H328" s="37">
        <v>0</v>
      </c>
      <c r="I328" s="37">
        <v>0</v>
      </c>
    </row>
    <row r="329" spans="1:9" ht="15" customHeight="1">
      <c r="A329" s="37"/>
      <c r="B329" s="37" t="s">
        <v>6</v>
      </c>
      <c r="C329" s="37" t="s">
        <v>377</v>
      </c>
      <c r="D329" s="39">
        <v>0</v>
      </c>
      <c r="E329" s="39">
        <v>10</v>
      </c>
      <c r="F329" s="37">
        <v>170</v>
      </c>
      <c r="G329" s="37">
        <v>0</v>
      </c>
      <c r="H329" s="37">
        <v>0</v>
      </c>
      <c r="I329" s="37">
        <v>0</v>
      </c>
    </row>
    <row r="330" spans="1:9" ht="15" customHeight="1">
      <c r="A330" s="37"/>
      <c r="B330" s="37" t="s">
        <v>8</v>
      </c>
      <c r="C330" s="37" t="s">
        <v>378</v>
      </c>
      <c r="D330" s="39">
        <v>0</v>
      </c>
      <c r="E330" s="39">
        <v>20</v>
      </c>
      <c r="F330" s="37">
        <v>130</v>
      </c>
      <c r="G330" s="37">
        <v>0</v>
      </c>
      <c r="H330" s="37">
        <v>0</v>
      </c>
      <c r="I330" s="37">
        <v>0</v>
      </c>
    </row>
    <row r="331" spans="1:9" ht="15" customHeight="1">
      <c r="A331" s="37"/>
      <c r="B331" s="37" t="s">
        <v>8</v>
      </c>
      <c r="C331" s="37" t="s">
        <v>379</v>
      </c>
      <c r="D331" s="39">
        <v>0</v>
      </c>
      <c r="E331" s="39">
        <v>20</v>
      </c>
      <c r="F331" s="37">
        <v>130</v>
      </c>
      <c r="G331" s="37">
        <v>0</v>
      </c>
      <c r="H331" s="37">
        <v>0</v>
      </c>
      <c r="I331" s="37">
        <v>0</v>
      </c>
    </row>
    <row r="332" spans="1:9" ht="15" customHeight="1">
      <c r="A332" s="37"/>
      <c r="B332" s="37"/>
      <c r="C332" s="37"/>
      <c r="D332" s="39"/>
      <c r="E332" s="39"/>
      <c r="F332" s="37"/>
      <c r="G332" s="37"/>
      <c r="H332" s="37"/>
      <c r="I332" s="37"/>
    </row>
    <row r="333" spans="1:9" ht="15" customHeight="1">
      <c r="A333" s="37"/>
      <c r="B333" s="34" t="s">
        <v>280</v>
      </c>
      <c r="C333" s="34" t="s">
        <v>170</v>
      </c>
      <c r="D333" s="128" t="s">
        <v>404</v>
      </c>
      <c r="E333" s="41" t="s">
        <v>281</v>
      </c>
      <c r="F333" s="38" t="s">
        <v>284</v>
      </c>
      <c r="G333" s="129" t="s">
        <v>282</v>
      </c>
      <c r="H333" s="38" t="s">
        <v>370</v>
      </c>
      <c r="I333" s="38" t="s">
        <v>371</v>
      </c>
    </row>
    <row r="334" spans="1:9" ht="15" customHeight="1">
      <c r="A334" s="37"/>
      <c r="B334" s="37" t="s">
        <v>4</v>
      </c>
      <c r="C334" s="37" t="s">
        <v>387</v>
      </c>
      <c r="D334" s="128">
        <v>0</v>
      </c>
      <c r="E334" s="41"/>
      <c r="F334" s="38"/>
      <c r="G334" s="129">
        <v>0</v>
      </c>
      <c r="H334" s="38">
        <v>0</v>
      </c>
      <c r="I334" s="41">
        <v>0</v>
      </c>
    </row>
    <row r="335" spans="1:9" ht="15" customHeight="1">
      <c r="A335" s="37"/>
      <c r="B335" s="37" t="s">
        <v>4</v>
      </c>
      <c r="C335" s="37" t="s">
        <v>388</v>
      </c>
      <c r="D335" s="39">
        <v>0</v>
      </c>
      <c r="E335" s="37"/>
      <c r="F335" s="37"/>
      <c r="G335" s="37">
        <v>0</v>
      </c>
      <c r="H335" s="38">
        <v>0</v>
      </c>
      <c r="I335" s="39">
        <f>D335*H335</f>
        <v>0</v>
      </c>
    </row>
    <row r="336" spans="1:9" ht="15" customHeight="1">
      <c r="A336" s="37"/>
      <c r="B336" s="37" t="s">
        <v>5</v>
      </c>
      <c r="C336" s="37" t="s">
        <v>389</v>
      </c>
      <c r="D336" s="39">
        <v>0</v>
      </c>
      <c r="E336" s="37"/>
      <c r="F336" s="37"/>
      <c r="G336" s="37">
        <v>0</v>
      </c>
      <c r="H336" s="38">
        <v>0</v>
      </c>
      <c r="I336" s="39">
        <f>D336*H336</f>
        <v>0</v>
      </c>
    </row>
    <row r="337" spans="1:9" ht="15" customHeight="1">
      <c r="A337" s="37"/>
      <c r="B337" s="37" t="s">
        <v>6</v>
      </c>
      <c r="C337" s="37" t="s">
        <v>390</v>
      </c>
      <c r="D337" s="39">
        <v>0</v>
      </c>
      <c r="E337" s="37"/>
      <c r="F337" s="37"/>
      <c r="G337" s="37">
        <v>0</v>
      </c>
      <c r="H337" s="38">
        <v>0</v>
      </c>
      <c r="I337" s="39">
        <f>D337*H337</f>
        <v>0</v>
      </c>
    </row>
    <row r="338" spans="1:9" ht="15" customHeight="1">
      <c r="A338" s="37"/>
      <c r="B338" s="37" t="s">
        <v>8</v>
      </c>
      <c r="C338" s="37" t="s">
        <v>391</v>
      </c>
      <c r="D338" s="39">
        <v>0</v>
      </c>
      <c r="E338" s="37"/>
      <c r="F338" s="37"/>
      <c r="G338" s="37">
        <v>0</v>
      </c>
      <c r="H338" s="38">
        <v>0</v>
      </c>
      <c r="I338" s="39">
        <f>D338*H338</f>
        <v>0</v>
      </c>
    </row>
    <row r="339" spans="1:9" ht="15" customHeight="1">
      <c r="A339" s="37"/>
      <c r="B339" s="37" t="s">
        <v>8</v>
      </c>
      <c r="C339" s="37" t="s">
        <v>392</v>
      </c>
      <c r="D339" s="39">
        <v>0</v>
      </c>
      <c r="E339" s="37"/>
      <c r="F339" s="37"/>
      <c r="G339" s="37">
        <v>0</v>
      </c>
      <c r="H339" s="38">
        <v>0</v>
      </c>
      <c r="I339" s="39">
        <f>D339*H339</f>
        <v>0</v>
      </c>
    </row>
    <row r="340" spans="1:9" ht="15" customHeight="1">
      <c r="A340" s="37"/>
      <c r="B340" s="37"/>
      <c r="C340" s="37"/>
      <c r="D340" s="39"/>
      <c r="E340" s="37"/>
      <c r="F340" s="37"/>
      <c r="G340" s="37"/>
      <c r="H340" s="38"/>
      <c r="I340" s="126"/>
    </row>
    <row r="341" spans="1:9" ht="15" customHeight="1">
      <c r="A341" s="37"/>
      <c r="B341" s="37" t="s">
        <v>4</v>
      </c>
      <c r="C341" s="37" t="s">
        <v>372</v>
      </c>
      <c r="D341" s="39">
        <v>15</v>
      </c>
      <c r="E341" s="37">
        <v>20</v>
      </c>
      <c r="F341" s="37">
        <v>200</v>
      </c>
      <c r="G341" s="37">
        <v>0</v>
      </c>
      <c r="H341" s="126">
        <f>IF(AND($C$187=1,$B$19=1),0,
IF(AND($C$187=1,$B$19&gt;1),1,
IF($C$187&gt;1,2,0)))</f>
        <v>0</v>
      </c>
      <c r="I341" s="126">
        <f>D341*H341</f>
        <v>0</v>
      </c>
    </row>
    <row r="342" spans="1:9" ht="15" customHeight="1">
      <c r="A342" s="37"/>
      <c r="B342" s="37" t="s">
        <v>4</v>
      </c>
      <c r="C342" s="37" t="s">
        <v>412</v>
      </c>
      <c r="D342" s="39">
        <v>4</v>
      </c>
      <c r="E342" s="37">
        <v>20</v>
      </c>
      <c r="F342" s="37">
        <v>130</v>
      </c>
      <c r="G342" s="37">
        <v>0</v>
      </c>
      <c r="H342" s="126">
        <f>IF(AND($C$187=1,$B$31=1),0,
IF(AND($C$187=1,$B$31&gt;1),1,
IF($C$187&gt;1,2,0)))</f>
        <v>0</v>
      </c>
      <c r="I342" s="126">
        <f t="shared" ref="I342:I346" si="4">D342*H342</f>
        <v>0</v>
      </c>
    </row>
    <row r="343" spans="1:9" ht="15" customHeight="1">
      <c r="A343" s="37"/>
      <c r="B343" s="37" t="s">
        <v>5</v>
      </c>
      <c r="C343" s="37" t="s">
        <v>413</v>
      </c>
      <c r="D343" s="39">
        <v>19</v>
      </c>
      <c r="E343" s="37">
        <v>10</v>
      </c>
      <c r="F343" s="37">
        <v>170</v>
      </c>
      <c r="G343" s="37">
        <v>0</v>
      </c>
      <c r="H343" s="126">
        <f>IF(AND($C$187=1,$B$43=1),0,
IF(AND($C$187=1,$B$43&gt;1),1,
IF($C$187&gt;1,2,0)))</f>
        <v>0</v>
      </c>
      <c r="I343" s="126">
        <f t="shared" si="4"/>
        <v>0</v>
      </c>
    </row>
    <row r="344" spans="1:9" ht="15" customHeight="1">
      <c r="A344" s="37"/>
      <c r="B344" s="37" t="s">
        <v>6</v>
      </c>
      <c r="C344" s="37" t="s">
        <v>419</v>
      </c>
      <c r="D344" s="39">
        <v>4</v>
      </c>
      <c r="E344" s="37">
        <v>10</v>
      </c>
      <c r="F344" s="37">
        <v>170</v>
      </c>
      <c r="G344" s="37">
        <v>0</v>
      </c>
      <c r="H344" s="126">
        <f>IF(AND($C$187=1,$B$55=1),0,
IF(AND($C$187=1,$B$55&gt;1),1,
IF($C$187&gt;1,2,0)))</f>
        <v>0</v>
      </c>
      <c r="I344" s="126">
        <f t="shared" si="4"/>
        <v>0</v>
      </c>
    </row>
    <row r="345" spans="1:9" ht="15" customHeight="1">
      <c r="A345" s="37"/>
      <c r="B345" s="37" t="s">
        <v>8</v>
      </c>
      <c r="C345" s="37" t="s">
        <v>423</v>
      </c>
      <c r="D345" s="39">
        <v>5.5</v>
      </c>
      <c r="E345" s="37">
        <v>20</v>
      </c>
      <c r="F345" s="37">
        <v>130</v>
      </c>
      <c r="G345" s="37">
        <v>0</v>
      </c>
      <c r="H345" s="126">
        <f>IF(AND($C$187=1,$B$67=1),0,
IF(AND($C$187=1,$B$67&gt;1),1,
IF($C$187&gt;1,2,0)))</f>
        <v>0</v>
      </c>
      <c r="I345" s="126">
        <f t="shared" si="4"/>
        <v>0</v>
      </c>
    </row>
    <row r="346" spans="1:9" ht="15" customHeight="1">
      <c r="A346" s="37"/>
      <c r="B346" s="37" t="s">
        <v>8</v>
      </c>
      <c r="C346" s="37" t="s">
        <v>424</v>
      </c>
      <c r="D346" s="39">
        <v>3</v>
      </c>
      <c r="E346" s="37">
        <v>20</v>
      </c>
      <c r="F346" s="37">
        <v>130</v>
      </c>
      <c r="G346" s="37">
        <v>0</v>
      </c>
      <c r="H346" s="126">
        <f>IF(AND($C$187=1,$B$79=1),0,
IF(AND($C$187=1,$B$79&gt;1),1,
IF($C$187&gt;1,2,0)))</f>
        <v>0</v>
      </c>
      <c r="I346" s="126">
        <f t="shared" si="4"/>
        <v>0</v>
      </c>
    </row>
    <row r="347" spans="1:9" ht="15" customHeight="1">
      <c r="A347" s="37"/>
      <c r="B347" s="37"/>
      <c r="C347" s="37"/>
      <c r="D347" s="39"/>
      <c r="E347" s="39"/>
      <c r="F347" s="37"/>
      <c r="G347" s="37"/>
      <c r="H347" s="37"/>
      <c r="I347" s="126"/>
    </row>
    <row r="348" spans="1:9" ht="15" customHeight="1">
      <c r="A348" s="37"/>
      <c r="B348" s="37"/>
      <c r="C348" s="37"/>
      <c r="D348" s="39"/>
      <c r="E348" s="39"/>
      <c r="F348" s="37"/>
      <c r="G348" s="37"/>
      <c r="H348" s="37"/>
      <c r="I348" s="126"/>
    </row>
    <row r="349" spans="1:9" ht="15" customHeight="1">
      <c r="A349" s="37"/>
      <c r="B349" s="34" t="s">
        <v>283</v>
      </c>
      <c r="C349" s="34" t="s">
        <v>285</v>
      </c>
      <c r="D349" s="123" t="s">
        <v>287</v>
      </c>
      <c r="E349" s="41" t="s">
        <v>281</v>
      </c>
      <c r="F349" s="38" t="s">
        <v>284</v>
      </c>
      <c r="G349" s="129" t="s">
        <v>282</v>
      </c>
      <c r="H349" s="38" t="s">
        <v>370</v>
      </c>
      <c r="I349" s="38" t="s">
        <v>371</v>
      </c>
    </row>
    <row r="350" spans="1:9" ht="15" customHeight="1">
      <c r="A350" s="37"/>
      <c r="B350" s="37" t="s">
        <v>4</v>
      </c>
      <c r="C350" s="37" t="s">
        <v>380</v>
      </c>
      <c r="D350" s="128">
        <v>0</v>
      </c>
      <c r="E350" s="41"/>
      <c r="F350" s="38"/>
      <c r="G350" s="129">
        <v>0</v>
      </c>
      <c r="H350" s="37">
        <v>0</v>
      </c>
      <c r="I350" s="126">
        <f t="shared" ref="I350:I355" si="5">D350*H350</f>
        <v>0</v>
      </c>
    </row>
    <row r="351" spans="1:9" ht="15" customHeight="1">
      <c r="A351" s="37"/>
      <c r="B351" s="37" t="s">
        <v>4</v>
      </c>
      <c r="C351" s="37" t="s">
        <v>381</v>
      </c>
      <c r="D351" s="39">
        <v>0</v>
      </c>
      <c r="E351" s="37"/>
      <c r="F351" s="37"/>
      <c r="G351" s="37">
        <v>0</v>
      </c>
      <c r="H351" s="39">
        <v>0</v>
      </c>
      <c r="I351" s="126">
        <f t="shared" si="5"/>
        <v>0</v>
      </c>
    </row>
    <row r="352" spans="1:9" ht="15" customHeight="1">
      <c r="A352" s="37"/>
      <c r="B352" s="37" t="s">
        <v>5</v>
      </c>
      <c r="C352" s="37" t="s">
        <v>382</v>
      </c>
      <c r="D352" s="39">
        <v>0</v>
      </c>
      <c r="E352" s="37"/>
      <c r="F352" s="37"/>
      <c r="G352" s="37">
        <v>0</v>
      </c>
      <c r="H352" s="37">
        <v>0</v>
      </c>
      <c r="I352" s="126">
        <f t="shared" si="5"/>
        <v>0</v>
      </c>
    </row>
    <row r="353" spans="1:9" ht="15" customHeight="1">
      <c r="A353" s="37"/>
      <c r="B353" s="37" t="s">
        <v>6</v>
      </c>
      <c r="C353" s="37" t="s">
        <v>383</v>
      </c>
      <c r="D353" s="39">
        <v>0</v>
      </c>
      <c r="E353" s="37"/>
      <c r="F353" s="37"/>
      <c r="G353" s="37">
        <v>0</v>
      </c>
      <c r="H353" s="37">
        <v>0</v>
      </c>
      <c r="I353" s="126">
        <f t="shared" si="5"/>
        <v>0</v>
      </c>
    </row>
    <row r="354" spans="1:9" ht="15" customHeight="1">
      <c r="A354" s="37"/>
      <c r="B354" s="37" t="s">
        <v>8</v>
      </c>
      <c r="C354" s="37" t="s">
        <v>384</v>
      </c>
      <c r="D354" s="39">
        <v>0</v>
      </c>
      <c r="E354" s="37"/>
      <c r="F354" s="37"/>
      <c r="G354" s="37">
        <v>0</v>
      </c>
      <c r="H354" s="37">
        <v>0</v>
      </c>
      <c r="I354" s="126">
        <f t="shared" si="5"/>
        <v>0</v>
      </c>
    </row>
    <row r="355" spans="1:9" ht="15" customHeight="1">
      <c r="A355" s="37"/>
      <c r="B355" s="37" t="s">
        <v>8</v>
      </c>
      <c r="C355" s="37" t="s">
        <v>385</v>
      </c>
      <c r="D355" s="39">
        <v>0</v>
      </c>
      <c r="E355" s="37"/>
      <c r="F355" s="37"/>
      <c r="G355" s="37">
        <v>0</v>
      </c>
      <c r="H355" s="37">
        <v>0</v>
      </c>
      <c r="I355" s="126">
        <f t="shared" si="5"/>
        <v>0</v>
      </c>
    </row>
    <row r="356" spans="1:9" ht="15" customHeight="1">
      <c r="A356" s="37"/>
      <c r="B356" s="37"/>
      <c r="C356" s="37"/>
      <c r="D356" s="128"/>
      <c r="E356" s="41"/>
      <c r="F356" s="38"/>
      <c r="G356" s="124"/>
      <c r="H356" s="37"/>
      <c r="I356" s="126"/>
    </row>
    <row r="357" spans="1:9" ht="15" customHeight="1">
      <c r="A357" s="37"/>
      <c r="B357" s="37" t="s">
        <v>4</v>
      </c>
      <c r="C357" s="37" t="s">
        <v>290</v>
      </c>
      <c r="D357" s="39">
        <v>15</v>
      </c>
      <c r="E357" s="37">
        <v>20</v>
      </c>
      <c r="F357" s="37">
        <v>200</v>
      </c>
      <c r="G357" s="37">
        <v>5</v>
      </c>
      <c r="H357" s="126">
        <f>IF(AND($C$187=1,$B$19=1),0,
IF(AND($C$187=1,$B$19&gt;1),1,
IF($C$187&gt;1,2,0)))</f>
        <v>0</v>
      </c>
      <c r="I357" s="126">
        <f t="shared" ref="I357:I378" si="6">D357*H357</f>
        <v>0</v>
      </c>
    </row>
    <row r="358" spans="1:9" ht="15" customHeight="1">
      <c r="A358" s="37"/>
      <c r="B358" s="37" t="s">
        <v>4</v>
      </c>
      <c r="C358" s="37" t="s">
        <v>291</v>
      </c>
      <c r="D358" s="39">
        <v>4</v>
      </c>
      <c r="E358" s="37">
        <v>20</v>
      </c>
      <c r="F358" s="37">
        <v>130</v>
      </c>
      <c r="G358" s="37">
        <v>1.5</v>
      </c>
      <c r="H358" s="126">
        <f>IF(AND($C$187=1,$B$31=1),0,
IF(AND($C$187=1,$B$31&gt;1),1,
IF($C$187&gt;1,2,0)))</f>
        <v>0</v>
      </c>
      <c r="I358" s="126">
        <f t="shared" si="6"/>
        <v>0</v>
      </c>
    </row>
    <row r="359" spans="1:9" ht="15" customHeight="1">
      <c r="A359" s="37"/>
      <c r="B359" s="37" t="s">
        <v>5</v>
      </c>
      <c r="C359" s="37" t="s">
        <v>292</v>
      </c>
      <c r="D359" s="39">
        <v>19</v>
      </c>
      <c r="E359" s="37">
        <v>10</v>
      </c>
      <c r="F359" s="37">
        <v>170</v>
      </c>
      <c r="G359" s="37">
        <v>6</v>
      </c>
      <c r="H359" s="126">
        <f>IF(AND($C$187=1,$B$43=1),0,
IF(AND($C$187=1,$B$43&gt;1),1,
IF($C$187&gt;1,2,0)))</f>
        <v>0</v>
      </c>
      <c r="I359" s="126">
        <f t="shared" si="6"/>
        <v>0</v>
      </c>
    </row>
    <row r="360" spans="1:9" ht="15" customHeight="1">
      <c r="A360" s="37"/>
      <c r="B360" s="37" t="s">
        <v>6</v>
      </c>
      <c r="C360" s="37" t="s">
        <v>293</v>
      </c>
      <c r="D360" s="39">
        <v>4</v>
      </c>
      <c r="E360" s="37">
        <v>10</v>
      </c>
      <c r="F360" s="37">
        <v>170</v>
      </c>
      <c r="G360" s="37">
        <v>1.5</v>
      </c>
      <c r="H360" s="126">
        <f>IF(AND($C$187=1,$B$55=1),0,
IF(AND($C$187=1,$B$55&gt;1),1,
IF($C$187&gt;1,2,0)))</f>
        <v>0</v>
      </c>
      <c r="I360" s="126">
        <f t="shared" si="6"/>
        <v>0</v>
      </c>
    </row>
    <row r="361" spans="1:9" ht="15" customHeight="1">
      <c r="A361" s="37"/>
      <c r="B361" s="37" t="s">
        <v>8</v>
      </c>
      <c r="C361" s="37" t="s">
        <v>294</v>
      </c>
      <c r="D361" s="39">
        <v>5.5</v>
      </c>
      <c r="E361" s="37">
        <v>20</v>
      </c>
      <c r="F361" s="37">
        <v>130</v>
      </c>
      <c r="G361" s="37">
        <v>2</v>
      </c>
      <c r="H361" s="126">
        <f>IF(AND($C$187=1,$B$67=1),0,
IF(AND($C$187=1,$B$67&gt;1),1,
IF($C$187&gt;1,2,0)))</f>
        <v>0</v>
      </c>
      <c r="I361" s="126">
        <f t="shared" si="6"/>
        <v>0</v>
      </c>
    </row>
    <row r="362" spans="1:9" ht="15" customHeight="1">
      <c r="A362" s="37"/>
      <c r="B362" s="37" t="s">
        <v>8</v>
      </c>
      <c r="C362" s="37" t="s">
        <v>295</v>
      </c>
      <c r="D362" s="39">
        <v>3</v>
      </c>
      <c r="E362" s="37">
        <v>20</v>
      </c>
      <c r="F362" s="37">
        <v>130</v>
      </c>
      <c r="G362" s="37">
        <v>1</v>
      </c>
      <c r="H362" s="126">
        <f>IF(AND($C$187=1,$B$79=1),0,
IF(AND($C$187=1,$B$79&gt;1),1,
IF($C$187&gt;1,2,0)))</f>
        <v>0</v>
      </c>
      <c r="I362" s="126">
        <f t="shared" si="6"/>
        <v>0</v>
      </c>
    </row>
    <row r="363" spans="1:9" ht="15" customHeight="1">
      <c r="A363" s="37"/>
      <c r="B363" s="37"/>
      <c r="C363" s="37"/>
      <c r="D363" s="39"/>
      <c r="E363" s="39"/>
      <c r="F363" s="37"/>
      <c r="G363" s="37"/>
      <c r="H363" s="37"/>
      <c r="I363" s="126"/>
    </row>
    <row r="364" spans="1:9" ht="15" customHeight="1">
      <c r="A364" s="37"/>
      <c r="B364" s="37"/>
      <c r="C364" s="37"/>
      <c r="D364" s="39"/>
      <c r="E364" s="39"/>
      <c r="F364" s="37"/>
      <c r="G364" s="37"/>
      <c r="H364" s="37"/>
      <c r="I364" s="126"/>
    </row>
    <row r="365" spans="1:9" ht="15" customHeight="1">
      <c r="A365" s="37"/>
      <c r="B365" s="34" t="s">
        <v>286</v>
      </c>
      <c r="C365" s="34" t="s">
        <v>289</v>
      </c>
      <c r="D365" s="123" t="s">
        <v>288</v>
      </c>
      <c r="E365" s="41" t="s">
        <v>281</v>
      </c>
      <c r="F365" s="38" t="s">
        <v>284</v>
      </c>
      <c r="G365" s="129" t="s">
        <v>282</v>
      </c>
      <c r="H365" s="38" t="s">
        <v>370</v>
      </c>
      <c r="I365" s="38" t="s">
        <v>371</v>
      </c>
    </row>
    <row r="366" spans="1:9" ht="15" customHeight="1">
      <c r="A366" s="37"/>
      <c r="B366" s="37" t="s">
        <v>4</v>
      </c>
      <c r="C366" s="37" t="s">
        <v>393</v>
      </c>
      <c r="D366" s="128">
        <v>0</v>
      </c>
      <c r="E366" s="41"/>
      <c r="F366" s="38"/>
      <c r="G366" s="124">
        <v>0</v>
      </c>
      <c r="H366" s="39">
        <v>0</v>
      </c>
      <c r="I366" s="126">
        <f t="shared" ref="I366:I371" si="7">D366*H366</f>
        <v>0</v>
      </c>
    </row>
    <row r="367" spans="1:9" ht="15" customHeight="1">
      <c r="A367" s="37"/>
      <c r="B367" s="37" t="s">
        <v>4</v>
      </c>
      <c r="C367" s="37" t="s">
        <v>394</v>
      </c>
      <c r="D367" s="39">
        <v>0</v>
      </c>
      <c r="E367" s="37"/>
      <c r="F367" s="37"/>
      <c r="G367" s="37">
        <v>0</v>
      </c>
      <c r="H367" s="39">
        <v>0</v>
      </c>
      <c r="I367" s="126">
        <f t="shared" si="7"/>
        <v>0</v>
      </c>
    </row>
    <row r="368" spans="1:9" ht="15" customHeight="1">
      <c r="A368" s="37"/>
      <c r="B368" s="37" t="s">
        <v>5</v>
      </c>
      <c r="C368" s="37" t="s">
        <v>395</v>
      </c>
      <c r="D368" s="39">
        <v>0</v>
      </c>
      <c r="E368" s="37"/>
      <c r="F368" s="37"/>
      <c r="G368" s="37">
        <v>0</v>
      </c>
      <c r="H368" s="39">
        <v>0</v>
      </c>
      <c r="I368" s="126">
        <f t="shared" si="7"/>
        <v>0</v>
      </c>
    </row>
    <row r="369" spans="1:9" ht="15" customHeight="1">
      <c r="A369" s="37"/>
      <c r="B369" s="37" t="s">
        <v>6</v>
      </c>
      <c r="C369" s="37" t="s">
        <v>396</v>
      </c>
      <c r="D369" s="39">
        <v>0</v>
      </c>
      <c r="E369" s="37"/>
      <c r="F369" s="37"/>
      <c r="G369" s="37">
        <v>0</v>
      </c>
      <c r="H369" s="39">
        <v>0</v>
      </c>
      <c r="I369" s="126">
        <f t="shared" si="7"/>
        <v>0</v>
      </c>
    </row>
    <row r="370" spans="1:9" ht="15" customHeight="1">
      <c r="A370" s="37"/>
      <c r="B370" s="37" t="s">
        <v>8</v>
      </c>
      <c r="C370" s="37" t="s">
        <v>397</v>
      </c>
      <c r="D370" s="39">
        <v>0</v>
      </c>
      <c r="E370" s="37"/>
      <c r="F370" s="37"/>
      <c r="G370" s="37">
        <v>0</v>
      </c>
      <c r="H370" s="39">
        <v>0</v>
      </c>
      <c r="I370" s="126">
        <f t="shared" si="7"/>
        <v>0</v>
      </c>
    </row>
    <row r="371" spans="1:9" ht="15" customHeight="1">
      <c r="A371" s="37"/>
      <c r="B371" s="37" t="s">
        <v>8</v>
      </c>
      <c r="C371" s="37" t="s">
        <v>398</v>
      </c>
      <c r="D371" s="39">
        <v>0</v>
      </c>
      <c r="E371" s="37"/>
      <c r="F371" s="37"/>
      <c r="G371" s="37">
        <v>0</v>
      </c>
      <c r="H371" s="39">
        <v>0</v>
      </c>
      <c r="I371" s="126">
        <f t="shared" si="7"/>
        <v>0</v>
      </c>
    </row>
    <row r="372" spans="1:9" ht="15" customHeight="1">
      <c r="A372" s="37"/>
      <c r="B372" s="37"/>
      <c r="C372" s="37"/>
      <c r="D372" s="128"/>
      <c r="E372" s="41"/>
      <c r="F372" s="38"/>
      <c r="G372" s="124"/>
      <c r="H372" s="37"/>
      <c r="I372" s="126"/>
    </row>
    <row r="373" spans="1:9" ht="15" customHeight="1">
      <c r="A373" s="37"/>
      <c r="B373" s="37" t="s">
        <v>4</v>
      </c>
      <c r="C373" s="37" t="s">
        <v>296</v>
      </c>
      <c r="D373" s="39">
        <v>16.25</v>
      </c>
      <c r="E373" s="37">
        <v>20</v>
      </c>
      <c r="F373" s="37">
        <v>200</v>
      </c>
      <c r="G373" s="37">
        <v>5</v>
      </c>
      <c r="H373" s="126">
        <f>IF(AND($C$187=1,$B$19=1),0,
IF(AND($C$187=1,$B$19&gt;1),1,
IF($C$187&gt;1,2,0)))</f>
        <v>0</v>
      </c>
      <c r="I373" s="126">
        <f t="shared" si="6"/>
        <v>0</v>
      </c>
    </row>
    <row r="374" spans="1:9" ht="15" customHeight="1">
      <c r="A374" s="37"/>
      <c r="B374" s="37" t="s">
        <v>4</v>
      </c>
      <c r="C374" s="37" t="s">
        <v>297</v>
      </c>
      <c r="D374" s="39">
        <v>4</v>
      </c>
      <c r="E374" s="37">
        <v>20</v>
      </c>
      <c r="F374" s="37">
        <v>130</v>
      </c>
      <c r="G374" s="37">
        <v>1.5</v>
      </c>
      <c r="H374" s="126">
        <f>IF(AND($C$187=1,$B$31=1),0,
IF(AND($C$187=1,$B$31&gt;1),1,
IF($C$187&gt;1,2,0)))</f>
        <v>0</v>
      </c>
      <c r="I374" s="126">
        <f t="shared" si="6"/>
        <v>0</v>
      </c>
    </row>
    <row r="375" spans="1:9" ht="15" customHeight="1">
      <c r="A375" s="37"/>
      <c r="B375" s="37" t="s">
        <v>5</v>
      </c>
      <c r="C375" s="37" t="s">
        <v>298</v>
      </c>
      <c r="D375" s="39">
        <v>20.25</v>
      </c>
      <c r="E375" s="37">
        <v>10</v>
      </c>
      <c r="F375" s="37">
        <v>170</v>
      </c>
      <c r="G375" s="37">
        <v>6</v>
      </c>
      <c r="H375" s="126">
        <f>IF(AND($C$187=1,$B$43=1),0,
IF(AND($C$187=1,$B$43&gt;1),1,
IF($C$187&gt;1,2,0)))</f>
        <v>0</v>
      </c>
      <c r="I375" s="126">
        <f t="shared" si="6"/>
        <v>0</v>
      </c>
    </row>
    <row r="376" spans="1:9" ht="15" customHeight="1">
      <c r="A376" s="37"/>
      <c r="B376" s="37" t="s">
        <v>6</v>
      </c>
      <c r="C376" s="37" t="s">
        <v>299</v>
      </c>
      <c r="D376" s="39">
        <v>5.25</v>
      </c>
      <c r="E376" s="37">
        <v>10</v>
      </c>
      <c r="F376" s="37">
        <v>170</v>
      </c>
      <c r="G376" s="37">
        <v>1.5</v>
      </c>
      <c r="H376" s="126">
        <f>IF(AND($C$187=1,$B$55=1),0,
IF(AND($C$187=1,$B$55&gt;1),1,
IF($C$187&gt;1,2,0)))</f>
        <v>0</v>
      </c>
      <c r="I376" s="126">
        <f t="shared" si="6"/>
        <v>0</v>
      </c>
    </row>
    <row r="377" spans="1:9" ht="15" customHeight="1">
      <c r="A377" s="37"/>
      <c r="B377" s="37" t="s">
        <v>8</v>
      </c>
      <c r="C377" s="37" t="s">
        <v>300</v>
      </c>
      <c r="D377" s="39">
        <v>5.5</v>
      </c>
      <c r="E377" s="37">
        <v>20</v>
      </c>
      <c r="F377" s="37">
        <v>130</v>
      </c>
      <c r="G377" s="37">
        <v>2</v>
      </c>
      <c r="H377" s="126">
        <f>IF(AND($C$187=1,$B$67=1),0,
IF(AND($C$187=1,$B$67&gt;1),1,
IF($C$187&gt;1,2,0)))</f>
        <v>0</v>
      </c>
      <c r="I377" s="126">
        <f t="shared" si="6"/>
        <v>0</v>
      </c>
    </row>
    <row r="378" spans="1:9" ht="15" customHeight="1">
      <c r="A378" s="37"/>
      <c r="B378" s="37" t="s">
        <v>8</v>
      </c>
      <c r="C378" s="37" t="s">
        <v>301</v>
      </c>
      <c r="D378" s="39">
        <v>3</v>
      </c>
      <c r="E378" s="37">
        <v>20</v>
      </c>
      <c r="F378" s="37">
        <v>130</v>
      </c>
      <c r="G378" s="37">
        <v>1</v>
      </c>
      <c r="H378" s="126">
        <f>IF(AND($C$187=1,$B$79=1),0,
IF(AND($C$187=1,$B$79&gt;1),1,
IF($C$187&gt;1,2,0)))</f>
        <v>0</v>
      </c>
      <c r="I378" s="126">
        <f t="shared" si="6"/>
        <v>0</v>
      </c>
    </row>
    <row r="379" spans="1:9" ht="15" customHeight="1">
      <c r="A379" s="37"/>
      <c r="B379" s="37"/>
      <c r="C379" s="37"/>
      <c r="D379" s="39"/>
      <c r="E379" s="39"/>
      <c r="F379" s="37"/>
      <c r="G379" s="37"/>
      <c r="H379" s="37"/>
      <c r="I379" s="37"/>
    </row>
    <row r="380" spans="1:9" ht="15" customHeight="1">
      <c r="A380" s="37"/>
      <c r="B380" s="37"/>
      <c r="C380" s="37"/>
      <c r="D380" s="39"/>
      <c r="E380" s="39"/>
      <c r="F380" s="37"/>
      <c r="G380" s="37"/>
      <c r="H380" s="37"/>
      <c r="I380" s="37"/>
    </row>
    <row r="381" spans="1:9" ht="15" customHeight="1">
      <c r="A381" s="37"/>
      <c r="B381" s="34" t="s">
        <v>169</v>
      </c>
      <c r="C381" s="34" t="s">
        <v>170</v>
      </c>
      <c r="D381" s="36" t="s">
        <v>171</v>
      </c>
      <c r="E381" s="36" t="s">
        <v>172</v>
      </c>
      <c r="F381" s="36" t="s">
        <v>173</v>
      </c>
      <c r="G381" s="36" t="s">
        <v>174</v>
      </c>
      <c r="H381" s="37"/>
      <c r="I381" s="37" t="str">
        <f>""</f>
        <v/>
      </c>
    </row>
    <row r="382" spans="1:9" ht="15" customHeight="1">
      <c r="A382" s="37"/>
      <c r="B382" s="37" t="s">
        <v>31</v>
      </c>
      <c r="C382" s="37" t="s">
        <v>31</v>
      </c>
      <c r="D382" s="38">
        <v>0</v>
      </c>
      <c r="E382" s="36">
        <v>0</v>
      </c>
      <c r="F382" s="36">
        <v>0</v>
      </c>
      <c r="G382" s="36">
        <v>0</v>
      </c>
      <c r="H382" s="37"/>
      <c r="I382" s="37" t="str">
        <f>""</f>
        <v/>
      </c>
    </row>
    <row r="383" spans="1:9" ht="15" customHeight="1">
      <c r="A383" s="37"/>
      <c r="B383" s="37"/>
      <c r="C383" s="37"/>
      <c r="D383" s="38"/>
      <c r="E383" s="36"/>
      <c r="F383" s="36"/>
      <c r="G383" s="36"/>
      <c r="H383" s="37"/>
      <c r="I383" s="37" t="str">
        <f>""</f>
        <v/>
      </c>
    </row>
    <row r="384" spans="1:9" ht="15" customHeight="1">
      <c r="A384" s="37"/>
      <c r="B384" s="37" t="s">
        <v>12</v>
      </c>
      <c r="C384" s="37" t="s">
        <v>310</v>
      </c>
      <c r="D384" s="38">
        <v>500</v>
      </c>
      <c r="E384" s="38">
        <v>450</v>
      </c>
      <c r="F384" s="39">
        <f>D384+E384</f>
        <v>950</v>
      </c>
      <c r="G384" s="38">
        <v>0</v>
      </c>
      <c r="H384" s="37"/>
      <c r="I384" s="37" t="str">
        <f>""</f>
        <v/>
      </c>
    </row>
    <row r="385" spans="1:9" ht="15" customHeight="1">
      <c r="A385" s="37"/>
      <c r="B385" s="37" t="s">
        <v>12</v>
      </c>
      <c r="C385" s="37" t="s">
        <v>311</v>
      </c>
      <c r="D385" s="39">
        <v>500</v>
      </c>
      <c r="E385" s="39">
        <v>450</v>
      </c>
      <c r="F385" s="39">
        <f>D385+E385</f>
        <v>950</v>
      </c>
      <c r="G385" s="39">
        <v>0</v>
      </c>
      <c r="H385" s="37"/>
      <c r="I385" s="37" t="str">
        <f>""</f>
        <v/>
      </c>
    </row>
    <row r="386" spans="1:9" ht="15" customHeight="1">
      <c r="A386" s="37"/>
      <c r="B386" s="37" t="s">
        <v>12</v>
      </c>
      <c r="C386" s="37" t="s">
        <v>312</v>
      </c>
      <c r="D386" s="39">
        <v>500</v>
      </c>
      <c r="E386" s="39">
        <v>225</v>
      </c>
      <c r="F386" s="39">
        <f t="shared" ref="F386:F440" si="8">D386+E386</f>
        <v>725</v>
      </c>
      <c r="G386" s="39">
        <v>0</v>
      </c>
      <c r="H386" s="37"/>
      <c r="I386" s="37" t="str">
        <f>""</f>
        <v/>
      </c>
    </row>
    <row r="387" spans="1:9" ht="15" customHeight="1">
      <c r="A387" s="37"/>
      <c r="B387" s="37" t="s">
        <v>12</v>
      </c>
      <c r="C387" s="37" t="s">
        <v>313</v>
      </c>
      <c r="D387" s="39">
        <v>500</v>
      </c>
      <c r="E387" s="39">
        <v>0</v>
      </c>
      <c r="F387" s="39">
        <f t="shared" si="8"/>
        <v>500</v>
      </c>
      <c r="G387" s="39">
        <v>0</v>
      </c>
      <c r="H387" s="37"/>
      <c r="I387" s="37" t="str">
        <f>""</f>
        <v/>
      </c>
    </row>
    <row r="388" spans="1:9" ht="15" customHeight="1">
      <c r="A388" s="37"/>
      <c r="B388" s="37"/>
      <c r="C388" s="37"/>
      <c r="D388" s="39"/>
      <c r="E388" s="39"/>
      <c r="F388" s="39"/>
      <c r="G388" s="39"/>
      <c r="H388" s="37"/>
      <c r="I388" s="37" t="str">
        <f>""</f>
        <v/>
      </c>
    </row>
    <row r="389" spans="1:9" ht="15" customHeight="1">
      <c r="A389" s="37"/>
      <c r="B389" s="37" t="s">
        <v>98</v>
      </c>
      <c r="C389" s="37" t="s">
        <v>314</v>
      </c>
      <c r="D389" s="39">
        <v>1650</v>
      </c>
      <c r="E389" s="39">
        <v>450</v>
      </c>
      <c r="F389" s="39">
        <f t="shared" si="8"/>
        <v>2100</v>
      </c>
      <c r="G389" s="39">
        <v>150</v>
      </c>
      <c r="H389" s="37" t="s">
        <v>24</v>
      </c>
      <c r="I389" s="37" t="str">
        <f>""</f>
        <v/>
      </c>
    </row>
    <row r="390" spans="1:9" ht="15" customHeight="1">
      <c r="A390" s="37"/>
      <c r="B390" s="37" t="s">
        <v>98</v>
      </c>
      <c r="C390" s="37" t="s">
        <v>315</v>
      </c>
      <c r="D390" s="39">
        <v>1650</v>
      </c>
      <c r="E390" s="39">
        <v>450</v>
      </c>
      <c r="F390" s="39">
        <f t="shared" si="8"/>
        <v>2100</v>
      </c>
      <c r="G390" s="39">
        <v>150</v>
      </c>
      <c r="H390" s="37" t="s">
        <v>24</v>
      </c>
      <c r="I390" s="37" t="str">
        <f>""</f>
        <v/>
      </c>
    </row>
    <row r="391" spans="1:9" ht="15" customHeight="1">
      <c r="A391" s="37"/>
      <c r="B391" s="37" t="s">
        <v>98</v>
      </c>
      <c r="C391" s="37" t="s">
        <v>316</v>
      </c>
      <c r="D391" s="39">
        <v>1650</v>
      </c>
      <c r="E391" s="39">
        <v>225</v>
      </c>
      <c r="F391" s="39">
        <f t="shared" si="8"/>
        <v>1875</v>
      </c>
      <c r="G391" s="39">
        <v>150</v>
      </c>
      <c r="H391" s="37" t="s">
        <v>24</v>
      </c>
      <c r="I391" s="37" t="str">
        <f>""</f>
        <v/>
      </c>
    </row>
    <row r="392" spans="1:9" ht="15" customHeight="1">
      <c r="A392" s="37"/>
      <c r="B392" s="37" t="s">
        <v>98</v>
      </c>
      <c r="C392" s="37" t="s">
        <v>317</v>
      </c>
      <c r="D392" s="39">
        <v>1650</v>
      </c>
      <c r="E392" s="39">
        <v>0</v>
      </c>
      <c r="F392" s="39">
        <f t="shared" si="8"/>
        <v>1650</v>
      </c>
      <c r="G392" s="39">
        <v>150</v>
      </c>
      <c r="H392" s="37" t="s">
        <v>24</v>
      </c>
      <c r="I392" s="37" t="str">
        <f>""</f>
        <v/>
      </c>
    </row>
    <row r="393" spans="1:9" ht="15" customHeight="1">
      <c r="A393" s="37"/>
      <c r="B393" s="37"/>
      <c r="C393" s="37"/>
      <c r="D393" s="39"/>
      <c r="E393" s="39"/>
      <c r="F393" s="39"/>
      <c r="G393" s="39"/>
      <c r="H393" s="37"/>
      <c r="I393" s="37" t="str">
        <f>""</f>
        <v/>
      </c>
    </row>
    <row r="394" spans="1:9" ht="15" customHeight="1">
      <c r="A394" s="37"/>
      <c r="B394" s="39" t="s">
        <v>99</v>
      </c>
      <c r="C394" s="37" t="s">
        <v>318</v>
      </c>
      <c r="D394" s="39">
        <f>1650+(71-1)*150</f>
        <v>12150</v>
      </c>
      <c r="E394" s="39">
        <v>0</v>
      </c>
      <c r="F394" s="39">
        <f t="shared" si="8"/>
        <v>12150</v>
      </c>
      <c r="G394" s="39">
        <v>150</v>
      </c>
      <c r="H394" s="39" t="s">
        <v>104</v>
      </c>
      <c r="I394" s="37"/>
    </row>
    <row r="395" spans="1:9" ht="15" customHeight="1">
      <c r="A395" s="37"/>
      <c r="B395" s="39" t="s">
        <v>99</v>
      </c>
      <c r="C395" s="37" t="s">
        <v>319</v>
      </c>
      <c r="D395" s="39">
        <f>1650+(71-1)*150</f>
        <v>12150</v>
      </c>
      <c r="E395" s="39">
        <v>0</v>
      </c>
      <c r="F395" s="39">
        <f t="shared" si="8"/>
        <v>12150</v>
      </c>
      <c r="G395" s="39">
        <v>150</v>
      </c>
      <c r="H395" s="39" t="s">
        <v>104</v>
      </c>
      <c r="I395" s="37" t="str">
        <f>""</f>
        <v/>
      </c>
    </row>
    <row r="396" spans="1:9" ht="15" customHeight="1">
      <c r="A396" s="37"/>
      <c r="B396" s="39" t="s">
        <v>99</v>
      </c>
      <c r="C396" s="37" t="s">
        <v>320</v>
      </c>
      <c r="D396" s="39">
        <f t="shared" ref="D396:D398" si="9">1650+(71-1)*150</f>
        <v>12150</v>
      </c>
      <c r="E396" s="39">
        <v>0</v>
      </c>
      <c r="F396" s="39">
        <f t="shared" si="8"/>
        <v>12150</v>
      </c>
      <c r="G396" s="39">
        <v>150</v>
      </c>
      <c r="H396" s="39" t="s">
        <v>104</v>
      </c>
      <c r="I396" s="37" t="str">
        <f>""</f>
        <v/>
      </c>
    </row>
    <row r="397" spans="1:9" ht="15" customHeight="1">
      <c r="A397" s="37"/>
      <c r="B397" s="39" t="s">
        <v>99</v>
      </c>
      <c r="C397" s="37" t="s">
        <v>321</v>
      </c>
      <c r="D397" s="39">
        <f t="shared" si="9"/>
        <v>12150</v>
      </c>
      <c r="E397" s="39">
        <v>0</v>
      </c>
      <c r="F397" s="39">
        <f t="shared" si="8"/>
        <v>12150</v>
      </c>
      <c r="G397" s="39">
        <v>150</v>
      </c>
      <c r="H397" s="39" t="s">
        <v>104</v>
      </c>
      <c r="I397" s="37" t="str">
        <f>""</f>
        <v/>
      </c>
    </row>
    <row r="398" spans="1:9" ht="15" customHeight="1">
      <c r="A398" s="37"/>
      <c r="B398" s="39" t="s">
        <v>99</v>
      </c>
      <c r="C398" s="37" t="s">
        <v>322</v>
      </c>
      <c r="D398" s="39">
        <f t="shared" si="9"/>
        <v>12150</v>
      </c>
      <c r="E398" s="39">
        <v>0</v>
      </c>
      <c r="F398" s="39">
        <f t="shared" si="8"/>
        <v>12150</v>
      </c>
      <c r="G398" s="39">
        <v>150</v>
      </c>
      <c r="H398" s="39" t="s">
        <v>104</v>
      </c>
      <c r="I398" s="37" t="str">
        <f>""</f>
        <v/>
      </c>
    </row>
    <row r="399" spans="1:9" ht="15" customHeight="1">
      <c r="A399" s="37"/>
      <c r="B399" s="39"/>
      <c r="C399" s="39"/>
      <c r="D399" s="39"/>
      <c r="E399" s="39"/>
      <c r="F399" s="39"/>
      <c r="G399" s="39"/>
      <c r="H399" s="39"/>
      <c r="I399" s="37" t="str">
        <f>""</f>
        <v/>
      </c>
    </row>
    <row r="400" spans="1:9" ht="15" customHeight="1">
      <c r="A400" s="37"/>
      <c r="B400" s="37" t="s">
        <v>13</v>
      </c>
      <c r="C400" s="37" t="s">
        <v>323</v>
      </c>
      <c r="D400" s="39">
        <v>500</v>
      </c>
      <c r="E400" s="39">
        <v>450</v>
      </c>
      <c r="F400" s="39">
        <f t="shared" si="8"/>
        <v>950</v>
      </c>
      <c r="G400" s="39">
        <v>0</v>
      </c>
      <c r="H400" s="39"/>
      <c r="I400" s="37" t="str">
        <f>""</f>
        <v/>
      </c>
    </row>
    <row r="401" spans="1:9" ht="15" customHeight="1">
      <c r="A401" s="37"/>
      <c r="B401" s="37" t="s">
        <v>13</v>
      </c>
      <c r="C401" s="37" t="s">
        <v>324</v>
      </c>
      <c r="D401" s="39">
        <v>500</v>
      </c>
      <c r="E401" s="39">
        <v>450</v>
      </c>
      <c r="F401" s="39">
        <f t="shared" si="8"/>
        <v>950</v>
      </c>
      <c r="G401" s="39">
        <v>0</v>
      </c>
      <c r="H401" s="37"/>
      <c r="I401" s="37" t="str">
        <f>""</f>
        <v/>
      </c>
    </row>
    <row r="402" spans="1:9" ht="15" customHeight="1">
      <c r="A402" s="37"/>
      <c r="B402" s="37" t="s">
        <v>13</v>
      </c>
      <c r="C402" s="37" t="s">
        <v>325</v>
      </c>
      <c r="D402" s="39">
        <v>500</v>
      </c>
      <c r="E402" s="39">
        <v>225</v>
      </c>
      <c r="F402" s="39">
        <f t="shared" si="8"/>
        <v>725</v>
      </c>
      <c r="G402" s="39">
        <v>0</v>
      </c>
      <c r="H402" s="37"/>
      <c r="I402" s="37" t="str">
        <f>""</f>
        <v/>
      </c>
    </row>
    <row r="403" spans="1:9" ht="15" customHeight="1">
      <c r="A403" s="37"/>
      <c r="B403" s="37" t="s">
        <v>13</v>
      </c>
      <c r="C403" s="37" t="s">
        <v>326</v>
      </c>
      <c r="D403" s="39">
        <v>500</v>
      </c>
      <c r="E403" s="39">
        <v>0</v>
      </c>
      <c r="F403" s="39">
        <f t="shared" si="8"/>
        <v>500</v>
      </c>
      <c r="G403" s="39">
        <v>0</v>
      </c>
      <c r="H403" s="37"/>
      <c r="I403" s="37" t="str">
        <f>""</f>
        <v/>
      </c>
    </row>
    <row r="404" spans="1:9" ht="15" customHeight="1">
      <c r="A404" s="37"/>
      <c r="B404" s="37"/>
      <c r="C404" s="37"/>
      <c r="D404" s="39"/>
      <c r="E404" s="39"/>
      <c r="F404" s="39"/>
      <c r="G404" s="39"/>
      <c r="H404" s="37"/>
      <c r="I404" s="37" t="str">
        <f>""</f>
        <v/>
      </c>
    </row>
    <row r="405" spans="1:9" ht="15" customHeight="1">
      <c r="A405" s="37"/>
      <c r="B405" s="37" t="s">
        <v>14</v>
      </c>
      <c r="C405" s="37" t="s">
        <v>327</v>
      </c>
      <c r="D405" s="39">
        <v>3750</v>
      </c>
      <c r="E405" s="39">
        <v>450</v>
      </c>
      <c r="F405" s="39">
        <f t="shared" si="8"/>
        <v>4200</v>
      </c>
      <c r="G405" s="39">
        <v>0</v>
      </c>
      <c r="H405" s="37"/>
      <c r="I405" s="37" t="str">
        <f>""</f>
        <v/>
      </c>
    </row>
    <row r="406" spans="1:9" ht="15" customHeight="1">
      <c r="A406" s="37"/>
      <c r="B406" s="37" t="s">
        <v>14</v>
      </c>
      <c r="C406" s="37" t="s">
        <v>328</v>
      </c>
      <c r="D406" s="39">
        <v>3750</v>
      </c>
      <c r="E406" s="39">
        <v>450</v>
      </c>
      <c r="F406" s="39">
        <f t="shared" si="8"/>
        <v>4200</v>
      </c>
      <c r="G406" s="39">
        <v>0</v>
      </c>
      <c r="H406" s="37"/>
      <c r="I406" s="37" t="str">
        <f>""</f>
        <v/>
      </c>
    </row>
    <row r="407" spans="1:9" ht="15" customHeight="1">
      <c r="A407" s="37"/>
      <c r="B407" s="37" t="s">
        <v>14</v>
      </c>
      <c r="C407" s="37" t="s">
        <v>329</v>
      </c>
      <c r="D407" s="39">
        <v>3750</v>
      </c>
      <c r="E407" s="39">
        <v>225</v>
      </c>
      <c r="F407" s="39">
        <f t="shared" si="8"/>
        <v>3975</v>
      </c>
      <c r="G407" s="39">
        <v>0</v>
      </c>
      <c r="H407" s="37"/>
      <c r="I407" s="37" t="str">
        <f>""</f>
        <v/>
      </c>
    </row>
    <row r="408" spans="1:9" ht="15" customHeight="1">
      <c r="A408" s="37"/>
      <c r="B408" s="37" t="s">
        <v>14</v>
      </c>
      <c r="C408" s="37" t="s">
        <v>330</v>
      </c>
      <c r="D408" s="39">
        <v>3750</v>
      </c>
      <c r="E408" s="39">
        <v>0</v>
      </c>
      <c r="F408" s="39">
        <f t="shared" si="8"/>
        <v>3750</v>
      </c>
      <c r="G408" s="39">
        <v>0</v>
      </c>
      <c r="H408" s="37"/>
      <c r="I408" s="37" t="str">
        <f>""</f>
        <v/>
      </c>
    </row>
    <row r="409" spans="1:9" ht="15" customHeight="1">
      <c r="A409" s="37"/>
      <c r="B409" s="37"/>
      <c r="C409" s="37"/>
      <c r="D409" s="39"/>
      <c r="E409" s="39"/>
      <c r="F409" s="39"/>
      <c r="G409" s="39"/>
      <c r="H409" s="37"/>
      <c r="I409" s="37" t="str">
        <f>""</f>
        <v/>
      </c>
    </row>
    <row r="410" spans="1:9" ht="15" customHeight="1">
      <c r="A410" s="37"/>
      <c r="B410" s="37" t="s">
        <v>102</v>
      </c>
      <c r="C410" s="37" t="s">
        <v>331</v>
      </c>
      <c r="D410" s="39">
        <v>3750</v>
      </c>
      <c r="E410" s="39">
        <v>450</v>
      </c>
      <c r="F410" s="39">
        <f t="shared" si="8"/>
        <v>4200</v>
      </c>
      <c r="G410" s="39">
        <v>150</v>
      </c>
      <c r="H410" s="39" t="s">
        <v>23</v>
      </c>
      <c r="I410" s="37" t="str">
        <f>""</f>
        <v/>
      </c>
    </row>
    <row r="411" spans="1:9" ht="15" customHeight="1">
      <c r="A411" s="37"/>
      <c r="B411" s="37" t="s">
        <v>102</v>
      </c>
      <c r="C411" s="37" t="s">
        <v>332</v>
      </c>
      <c r="D411" s="39">
        <v>3750</v>
      </c>
      <c r="E411" s="39">
        <v>450</v>
      </c>
      <c r="F411" s="39">
        <f t="shared" si="8"/>
        <v>4200</v>
      </c>
      <c r="G411" s="39">
        <v>150</v>
      </c>
      <c r="H411" s="39" t="s">
        <v>23</v>
      </c>
      <c r="I411" s="37" t="str">
        <f>""</f>
        <v/>
      </c>
    </row>
    <row r="412" spans="1:9" ht="15" customHeight="1">
      <c r="A412" s="37"/>
      <c r="B412" s="37" t="s">
        <v>102</v>
      </c>
      <c r="C412" s="37" t="s">
        <v>333</v>
      </c>
      <c r="D412" s="39">
        <v>3750</v>
      </c>
      <c r="E412" s="39">
        <v>225</v>
      </c>
      <c r="F412" s="39">
        <f t="shared" si="8"/>
        <v>3975</v>
      </c>
      <c r="G412" s="39">
        <v>150</v>
      </c>
      <c r="H412" s="39" t="s">
        <v>23</v>
      </c>
      <c r="I412" s="37" t="str">
        <f>""</f>
        <v/>
      </c>
    </row>
    <row r="413" spans="1:9" ht="15" customHeight="1">
      <c r="A413" s="37"/>
      <c r="B413" s="37" t="s">
        <v>102</v>
      </c>
      <c r="C413" s="37" t="s">
        <v>334</v>
      </c>
      <c r="D413" s="39">
        <v>3750</v>
      </c>
      <c r="E413" s="39">
        <v>0</v>
      </c>
      <c r="F413" s="39">
        <f t="shared" si="8"/>
        <v>3750</v>
      </c>
      <c r="G413" s="39">
        <v>150</v>
      </c>
      <c r="H413" s="39" t="s">
        <v>23</v>
      </c>
      <c r="I413" s="37" t="str">
        <f>""</f>
        <v/>
      </c>
    </row>
    <row r="414" spans="1:9" ht="15" customHeight="1">
      <c r="A414" s="37"/>
      <c r="B414" s="37"/>
      <c r="C414" s="37"/>
      <c r="D414" s="39"/>
      <c r="E414" s="39"/>
      <c r="F414" s="39"/>
      <c r="G414" s="39"/>
      <c r="H414" s="39"/>
      <c r="I414" s="37" t="str">
        <f>""</f>
        <v/>
      </c>
    </row>
    <row r="415" spans="1:9" ht="15" customHeight="1">
      <c r="A415" s="37"/>
      <c r="B415" s="39" t="s">
        <v>103</v>
      </c>
      <c r="C415" s="37" t="s">
        <v>335</v>
      </c>
      <c r="D415" s="39">
        <f>3750+(71-10)*150</f>
        <v>12900</v>
      </c>
      <c r="E415" s="39">
        <v>0</v>
      </c>
      <c r="F415" s="39">
        <f t="shared" si="8"/>
        <v>12900</v>
      </c>
      <c r="G415" s="39">
        <v>150</v>
      </c>
      <c r="H415" s="39" t="s">
        <v>104</v>
      </c>
      <c r="I415" s="37" t="str">
        <f>""</f>
        <v/>
      </c>
    </row>
    <row r="416" spans="1:9" ht="15" customHeight="1">
      <c r="A416" s="37"/>
      <c r="B416" s="39" t="s">
        <v>103</v>
      </c>
      <c r="C416" s="37" t="s">
        <v>336</v>
      </c>
      <c r="D416" s="39">
        <f>3750+(71-10)*150</f>
        <v>12900</v>
      </c>
      <c r="E416" s="39">
        <v>0</v>
      </c>
      <c r="F416" s="39">
        <f t="shared" si="8"/>
        <v>12900</v>
      </c>
      <c r="G416" s="39">
        <v>150</v>
      </c>
      <c r="H416" s="39" t="s">
        <v>104</v>
      </c>
      <c r="I416" s="37" t="str">
        <f>""</f>
        <v/>
      </c>
    </row>
    <row r="417" spans="1:9" ht="15" customHeight="1">
      <c r="A417" s="37"/>
      <c r="B417" s="39" t="s">
        <v>103</v>
      </c>
      <c r="C417" s="37" t="s">
        <v>337</v>
      </c>
      <c r="D417" s="39">
        <f t="shared" ref="D417:D419" si="10">3750+(71-10)*150</f>
        <v>12900</v>
      </c>
      <c r="E417" s="39">
        <v>0</v>
      </c>
      <c r="F417" s="39">
        <f t="shared" si="8"/>
        <v>12900</v>
      </c>
      <c r="G417" s="39">
        <v>150</v>
      </c>
      <c r="H417" s="39" t="s">
        <v>104</v>
      </c>
      <c r="I417" s="37" t="str">
        <f>""</f>
        <v/>
      </c>
    </row>
    <row r="418" spans="1:9" ht="15" customHeight="1">
      <c r="A418" s="37"/>
      <c r="B418" s="39" t="s">
        <v>103</v>
      </c>
      <c r="C418" s="37" t="s">
        <v>338</v>
      </c>
      <c r="D418" s="39">
        <f t="shared" si="10"/>
        <v>12900</v>
      </c>
      <c r="E418" s="39">
        <v>0</v>
      </c>
      <c r="F418" s="39">
        <f t="shared" si="8"/>
        <v>12900</v>
      </c>
      <c r="G418" s="39">
        <v>150</v>
      </c>
      <c r="H418" s="39" t="s">
        <v>104</v>
      </c>
      <c r="I418" s="37" t="str">
        <f>""</f>
        <v/>
      </c>
    </row>
    <row r="419" spans="1:9" ht="15" customHeight="1">
      <c r="A419" s="37"/>
      <c r="B419" s="39" t="s">
        <v>103</v>
      </c>
      <c r="C419" s="37" t="s">
        <v>339</v>
      </c>
      <c r="D419" s="39">
        <f t="shared" si="10"/>
        <v>12900</v>
      </c>
      <c r="E419" s="39">
        <v>0</v>
      </c>
      <c r="F419" s="39">
        <f t="shared" si="8"/>
        <v>12900</v>
      </c>
      <c r="G419" s="39">
        <v>150</v>
      </c>
      <c r="H419" s="39" t="s">
        <v>104</v>
      </c>
      <c r="I419" s="37" t="str">
        <f>""</f>
        <v/>
      </c>
    </row>
    <row r="420" spans="1:9" ht="15" customHeight="1">
      <c r="A420" s="37"/>
      <c r="B420" s="39"/>
      <c r="C420" s="39"/>
      <c r="D420" s="39"/>
      <c r="E420" s="39"/>
      <c r="F420" s="39"/>
      <c r="G420" s="39"/>
      <c r="H420" s="39"/>
      <c r="I420" s="37" t="str">
        <f>""</f>
        <v/>
      </c>
    </row>
    <row r="421" spans="1:9" ht="15" customHeight="1">
      <c r="A421" s="37"/>
      <c r="B421" s="37" t="s">
        <v>15</v>
      </c>
      <c r="C421" s="37" t="s">
        <v>340</v>
      </c>
      <c r="D421" s="39">
        <v>500</v>
      </c>
      <c r="E421" s="39">
        <v>450</v>
      </c>
      <c r="F421" s="39">
        <f t="shared" si="8"/>
        <v>950</v>
      </c>
      <c r="G421" s="39">
        <v>0</v>
      </c>
      <c r="H421" s="39"/>
      <c r="I421" s="37" t="str">
        <f>""</f>
        <v/>
      </c>
    </row>
    <row r="422" spans="1:9" ht="15" customHeight="1">
      <c r="A422" s="37"/>
      <c r="B422" s="37" t="s">
        <v>15</v>
      </c>
      <c r="C422" s="37" t="s">
        <v>341</v>
      </c>
      <c r="D422" s="39">
        <v>500</v>
      </c>
      <c r="E422" s="39">
        <v>450</v>
      </c>
      <c r="F422" s="39">
        <f t="shared" si="8"/>
        <v>950</v>
      </c>
      <c r="G422" s="39">
        <v>0</v>
      </c>
      <c r="H422" s="37"/>
      <c r="I422" s="37" t="str">
        <f>""</f>
        <v/>
      </c>
    </row>
    <row r="423" spans="1:9" ht="15" customHeight="1">
      <c r="A423" s="37"/>
      <c r="B423" s="37" t="s">
        <v>15</v>
      </c>
      <c r="C423" s="37" t="s">
        <v>342</v>
      </c>
      <c r="D423" s="39">
        <v>500</v>
      </c>
      <c r="E423" s="39">
        <v>225</v>
      </c>
      <c r="F423" s="39">
        <f t="shared" si="8"/>
        <v>725</v>
      </c>
      <c r="G423" s="39">
        <v>0</v>
      </c>
      <c r="H423" s="37"/>
      <c r="I423" s="37" t="str">
        <f>""</f>
        <v/>
      </c>
    </row>
    <row r="424" spans="1:9" ht="15" customHeight="1">
      <c r="A424" s="37"/>
      <c r="B424" s="37" t="s">
        <v>15</v>
      </c>
      <c r="C424" s="37" t="s">
        <v>343</v>
      </c>
      <c r="D424" s="39">
        <v>500</v>
      </c>
      <c r="E424" s="39">
        <v>0</v>
      </c>
      <c r="F424" s="39">
        <f t="shared" si="8"/>
        <v>500</v>
      </c>
      <c r="G424" s="39">
        <v>0</v>
      </c>
      <c r="H424" s="37"/>
      <c r="I424" s="37" t="str">
        <f>""</f>
        <v/>
      </c>
    </row>
    <row r="425" spans="1:9" ht="15" customHeight="1">
      <c r="A425" s="37"/>
      <c r="B425" s="37"/>
      <c r="C425" s="37"/>
      <c r="D425" s="39"/>
      <c r="E425" s="39"/>
      <c r="F425" s="39"/>
      <c r="G425" s="39"/>
      <c r="H425" s="37"/>
      <c r="I425" s="37" t="str">
        <f>""</f>
        <v/>
      </c>
    </row>
    <row r="426" spans="1:9" ht="15" customHeight="1">
      <c r="A426" s="37"/>
      <c r="B426" s="37" t="s">
        <v>16</v>
      </c>
      <c r="C426" s="37" t="s">
        <v>344</v>
      </c>
      <c r="D426" s="39">
        <v>3750</v>
      </c>
      <c r="E426" s="39">
        <v>450</v>
      </c>
      <c r="F426" s="39">
        <f t="shared" si="8"/>
        <v>4200</v>
      </c>
      <c r="G426" s="39">
        <v>0</v>
      </c>
      <c r="H426" s="37"/>
      <c r="I426" s="37" t="str">
        <f>""</f>
        <v/>
      </c>
    </row>
    <row r="427" spans="1:9" ht="15" customHeight="1">
      <c r="A427" s="37"/>
      <c r="B427" s="37" t="s">
        <v>16</v>
      </c>
      <c r="C427" s="37" t="s">
        <v>345</v>
      </c>
      <c r="D427" s="39">
        <v>3750</v>
      </c>
      <c r="E427" s="39">
        <v>450</v>
      </c>
      <c r="F427" s="39">
        <f t="shared" si="8"/>
        <v>4200</v>
      </c>
      <c r="G427" s="39">
        <v>0</v>
      </c>
      <c r="H427" s="37"/>
      <c r="I427" s="37" t="str">
        <f>""</f>
        <v/>
      </c>
    </row>
    <row r="428" spans="1:9" ht="15" customHeight="1">
      <c r="A428" s="37"/>
      <c r="B428" s="37" t="s">
        <v>16</v>
      </c>
      <c r="C428" s="37" t="s">
        <v>346</v>
      </c>
      <c r="D428" s="39">
        <v>3750</v>
      </c>
      <c r="E428" s="39">
        <v>225</v>
      </c>
      <c r="F428" s="39">
        <f t="shared" si="8"/>
        <v>3975</v>
      </c>
      <c r="G428" s="39">
        <v>0</v>
      </c>
      <c r="H428" s="37"/>
      <c r="I428" s="37" t="str">
        <f>""</f>
        <v/>
      </c>
    </row>
    <row r="429" spans="1:9" ht="15" customHeight="1">
      <c r="A429" s="37"/>
      <c r="B429" s="37" t="s">
        <v>16</v>
      </c>
      <c r="C429" s="37" t="s">
        <v>347</v>
      </c>
      <c r="D429" s="39">
        <v>3750</v>
      </c>
      <c r="E429" s="39">
        <v>0</v>
      </c>
      <c r="F429" s="39">
        <f t="shared" si="8"/>
        <v>3750</v>
      </c>
      <c r="G429" s="39">
        <v>0</v>
      </c>
      <c r="H429" s="37"/>
      <c r="I429" s="37" t="str">
        <f>""</f>
        <v/>
      </c>
    </row>
    <row r="430" spans="1:9" ht="15" customHeight="1">
      <c r="A430" s="37"/>
      <c r="B430" s="37"/>
      <c r="C430" s="37"/>
      <c r="D430" s="39"/>
      <c r="E430" s="39"/>
      <c r="F430" s="39"/>
      <c r="G430" s="39"/>
      <c r="H430" s="37"/>
      <c r="I430" s="37" t="str">
        <f>""</f>
        <v/>
      </c>
    </row>
    <row r="431" spans="1:9" ht="15" customHeight="1">
      <c r="A431" s="37"/>
      <c r="B431" s="37" t="s">
        <v>101</v>
      </c>
      <c r="C431" s="37" t="s">
        <v>348</v>
      </c>
      <c r="D431" s="39">
        <v>3750</v>
      </c>
      <c r="E431" s="39">
        <v>450</v>
      </c>
      <c r="F431" s="39">
        <f t="shared" si="8"/>
        <v>4200</v>
      </c>
      <c r="G431" s="39">
        <v>150</v>
      </c>
      <c r="H431" s="39" t="s">
        <v>23</v>
      </c>
      <c r="I431" s="37" t="str">
        <f>""</f>
        <v/>
      </c>
    </row>
    <row r="432" spans="1:9" ht="15" customHeight="1">
      <c r="A432" s="37"/>
      <c r="B432" s="37" t="s">
        <v>101</v>
      </c>
      <c r="C432" s="37" t="s">
        <v>349</v>
      </c>
      <c r="D432" s="39">
        <v>3750</v>
      </c>
      <c r="E432" s="39">
        <v>450</v>
      </c>
      <c r="F432" s="39">
        <f t="shared" si="8"/>
        <v>4200</v>
      </c>
      <c r="G432" s="39">
        <v>150</v>
      </c>
      <c r="H432" s="39" t="s">
        <v>23</v>
      </c>
      <c r="I432" s="37" t="str">
        <f>""</f>
        <v/>
      </c>
    </row>
    <row r="433" spans="1:9" ht="15" customHeight="1">
      <c r="A433" s="37"/>
      <c r="B433" s="37" t="s">
        <v>101</v>
      </c>
      <c r="C433" s="37" t="s">
        <v>350</v>
      </c>
      <c r="D433" s="39">
        <v>3750</v>
      </c>
      <c r="E433" s="39">
        <v>225</v>
      </c>
      <c r="F433" s="39">
        <f t="shared" si="8"/>
        <v>3975</v>
      </c>
      <c r="G433" s="39">
        <v>150</v>
      </c>
      <c r="H433" s="39" t="s">
        <v>23</v>
      </c>
      <c r="I433" s="37" t="str">
        <f>""</f>
        <v/>
      </c>
    </row>
    <row r="434" spans="1:9" ht="15" customHeight="1">
      <c r="A434" s="37"/>
      <c r="B434" s="37" t="s">
        <v>101</v>
      </c>
      <c r="C434" s="37" t="s">
        <v>351</v>
      </c>
      <c r="D434" s="39">
        <v>3750</v>
      </c>
      <c r="E434" s="39">
        <v>0</v>
      </c>
      <c r="F434" s="39">
        <f t="shared" si="8"/>
        <v>3750</v>
      </c>
      <c r="G434" s="39">
        <v>150</v>
      </c>
      <c r="H434" s="39" t="s">
        <v>23</v>
      </c>
      <c r="I434" s="37" t="str">
        <f>""</f>
        <v/>
      </c>
    </row>
    <row r="435" spans="1:9" ht="15" customHeight="1">
      <c r="A435" s="37"/>
      <c r="B435" s="37"/>
      <c r="C435" s="37"/>
      <c r="D435" s="39"/>
      <c r="E435" s="39"/>
      <c r="F435" s="39"/>
      <c r="G435" s="39"/>
      <c r="H435" s="39"/>
      <c r="I435" s="37" t="str">
        <f>""</f>
        <v/>
      </c>
    </row>
    <row r="436" spans="1:9" ht="15" customHeight="1">
      <c r="A436" s="37"/>
      <c r="B436" s="39" t="s">
        <v>100</v>
      </c>
      <c r="C436" s="37" t="s">
        <v>352</v>
      </c>
      <c r="D436" s="39">
        <f>3750+(71-10)*150</f>
        <v>12900</v>
      </c>
      <c r="E436" s="39">
        <v>0</v>
      </c>
      <c r="F436" s="39">
        <f t="shared" si="8"/>
        <v>12900</v>
      </c>
      <c r="G436" s="39">
        <v>150</v>
      </c>
      <c r="H436" s="39" t="s">
        <v>104</v>
      </c>
      <c r="I436" s="37"/>
    </row>
    <row r="437" spans="1:9" ht="15" customHeight="1">
      <c r="A437" s="37"/>
      <c r="B437" s="39" t="s">
        <v>100</v>
      </c>
      <c r="C437" s="37" t="s">
        <v>353</v>
      </c>
      <c r="D437" s="39">
        <f>3750+(71-10)*150</f>
        <v>12900</v>
      </c>
      <c r="E437" s="39">
        <v>0</v>
      </c>
      <c r="F437" s="39">
        <f t="shared" si="8"/>
        <v>12900</v>
      </c>
      <c r="G437" s="39">
        <v>150</v>
      </c>
      <c r="H437" s="39" t="s">
        <v>104</v>
      </c>
      <c r="I437" s="37" t="str">
        <f>""</f>
        <v/>
      </c>
    </row>
    <row r="438" spans="1:9" ht="15" customHeight="1">
      <c r="A438" s="37"/>
      <c r="B438" s="39" t="s">
        <v>100</v>
      </c>
      <c r="C438" s="37" t="s">
        <v>354</v>
      </c>
      <c r="D438" s="39">
        <f t="shared" ref="D438:D440" si="11">3750+(71-10)*150</f>
        <v>12900</v>
      </c>
      <c r="E438" s="39">
        <v>0</v>
      </c>
      <c r="F438" s="39">
        <f t="shared" si="8"/>
        <v>12900</v>
      </c>
      <c r="G438" s="39">
        <v>150</v>
      </c>
      <c r="H438" s="39" t="s">
        <v>104</v>
      </c>
      <c r="I438" s="37" t="str">
        <f>""</f>
        <v/>
      </c>
    </row>
    <row r="439" spans="1:9" ht="15" customHeight="1">
      <c r="A439" s="37"/>
      <c r="B439" s="39" t="s">
        <v>100</v>
      </c>
      <c r="C439" s="37" t="s">
        <v>355</v>
      </c>
      <c r="D439" s="39">
        <f t="shared" si="11"/>
        <v>12900</v>
      </c>
      <c r="E439" s="39">
        <v>0</v>
      </c>
      <c r="F439" s="39">
        <f t="shared" si="8"/>
        <v>12900</v>
      </c>
      <c r="G439" s="39">
        <v>150</v>
      </c>
      <c r="H439" s="39" t="s">
        <v>104</v>
      </c>
      <c r="I439" s="37" t="str">
        <f>""</f>
        <v/>
      </c>
    </row>
    <row r="440" spans="1:9" ht="15" customHeight="1">
      <c r="A440" s="37"/>
      <c r="B440" s="39" t="s">
        <v>100</v>
      </c>
      <c r="C440" s="37" t="s">
        <v>356</v>
      </c>
      <c r="D440" s="39">
        <f t="shared" si="11"/>
        <v>12900</v>
      </c>
      <c r="E440" s="39">
        <v>0</v>
      </c>
      <c r="F440" s="39">
        <f t="shared" si="8"/>
        <v>12900</v>
      </c>
      <c r="G440" s="39">
        <v>150</v>
      </c>
      <c r="H440" s="39" t="s">
        <v>104</v>
      </c>
      <c r="I440" s="37" t="str">
        <f>""</f>
        <v/>
      </c>
    </row>
    <row r="441" spans="1:9" ht="15" customHeight="1">
      <c r="A441" s="37"/>
      <c r="B441" s="39"/>
      <c r="C441" s="39"/>
      <c r="D441" s="39"/>
      <c r="E441" s="39"/>
      <c r="F441" s="39"/>
      <c r="G441" s="39"/>
      <c r="H441" s="39"/>
      <c r="I441" s="37" t="str">
        <f>""</f>
        <v/>
      </c>
    </row>
    <row r="442" spans="1:9" ht="15" customHeight="1">
      <c r="A442" s="37"/>
      <c r="B442" s="33" t="s">
        <v>93</v>
      </c>
      <c r="C442" s="34" t="s">
        <v>180</v>
      </c>
      <c r="D442" s="35" t="s">
        <v>94</v>
      </c>
      <c r="E442" s="36" t="s">
        <v>95</v>
      </c>
      <c r="F442" s="36" t="s">
        <v>96</v>
      </c>
      <c r="G442" s="36" t="s">
        <v>97</v>
      </c>
      <c r="H442" s="37"/>
      <c r="I442" s="37" t="str">
        <f>""</f>
        <v/>
      </c>
    </row>
    <row r="443" spans="1:9" ht="15" customHeight="1">
      <c r="A443" s="37"/>
      <c r="B443" s="37" t="s">
        <v>31</v>
      </c>
      <c r="C443" s="37" t="s">
        <v>31</v>
      </c>
      <c r="D443" s="38">
        <v>0</v>
      </c>
      <c r="E443" s="36">
        <v>0</v>
      </c>
      <c r="F443" s="36">
        <v>0</v>
      </c>
      <c r="G443" s="36">
        <v>0</v>
      </c>
      <c r="H443" s="37"/>
      <c r="I443" s="37" t="str">
        <f>""</f>
        <v/>
      </c>
    </row>
    <row r="444" spans="1:9" ht="15" customHeight="1">
      <c r="A444" s="37"/>
      <c r="B444" s="37"/>
      <c r="C444" s="37"/>
      <c r="D444" s="38"/>
      <c r="E444" s="36"/>
      <c r="F444" s="36"/>
      <c r="G444" s="36"/>
      <c r="H444" s="37"/>
      <c r="I444" s="37" t="str">
        <f>""</f>
        <v/>
      </c>
    </row>
    <row r="445" spans="1:9" ht="15" customHeight="1">
      <c r="A445" s="37"/>
      <c r="B445" s="37" t="s">
        <v>12</v>
      </c>
      <c r="C445" s="37" t="s">
        <v>181</v>
      </c>
      <c r="D445" s="38">
        <v>500</v>
      </c>
      <c r="E445" s="38">
        <v>450</v>
      </c>
      <c r="F445" s="39">
        <f>D445+E445</f>
        <v>950</v>
      </c>
      <c r="G445" s="38">
        <v>0</v>
      </c>
      <c r="H445" s="37"/>
      <c r="I445" s="37" t="str">
        <f>""</f>
        <v/>
      </c>
    </row>
    <row r="446" spans="1:9" ht="15" customHeight="1">
      <c r="A446" s="37"/>
      <c r="B446" s="37" t="s">
        <v>12</v>
      </c>
      <c r="C446" s="37" t="s">
        <v>182</v>
      </c>
      <c r="D446" s="39">
        <v>500</v>
      </c>
      <c r="E446" s="39">
        <v>450</v>
      </c>
      <c r="F446" s="39">
        <f>D446+E446</f>
        <v>950</v>
      </c>
      <c r="G446" s="39">
        <v>0</v>
      </c>
      <c r="H446" s="37"/>
      <c r="I446" s="37" t="str">
        <f>""</f>
        <v/>
      </c>
    </row>
    <row r="447" spans="1:9" ht="15" customHeight="1">
      <c r="A447" s="37"/>
      <c r="B447" s="37" t="s">
        <v>12</v>
      </c>
      <c r="C447" s="37" t="s">
        <v>183</v>
      </c>
      <c r="D447" s="39">
        <v>500</v>
      </c>
      <c r="E447" s="39">
        <v>225</v>
      </c>
      <c r="F447" s="39">
        <f t="shared" ref="F447:F501" si="12">D447+E447</f>
        <v>725</v>
      </c>
      <c r="G447" s="39">
        <v>0</v>
      </c>
      <c r="H447" s="37"/>
      <c r="I447" s="37" t="str">
        <f>""</f>
        <v/>
      </c>
    </row>
    <row r="448" spans="1:9" ht="15" customHeight="1">
      <c r="A448" s="37"/>
      <c r="B448" s="37" t="s">
        <v>12</v>
      </c>
      <c r="C448" s="37" t="s">
        <v>184</v>
      </c>
      <c r="D448" s="39">
        <v>500</v>
      </c>
      <c r="E448" s="39">
        <v>0</v>
      </c>
      <c r="F448" s="39">
        <f t="shared" si="12"/>
        <v>500</v>
      </c>
      <c r="G448" s="39">
        <v>0</v>
      </c>
      <c r="H448" s="37"/>
      <c r="I448" s="37" t="str">
        <f>""</f>
        <v/>
      </c>
    </row>
    <row r="449" spans="1:9" ht="15" customHeight="1">
      <c r="A449" s="37"/>
      <c r="B449" s="37"/>
      <c r="C449" s="37"/>
      <c r="D449" s="39"/>
      <c r="E449" s="39"/>
      <c r="F449" s="39"/>
      <c r="G449" s="39"/>
      <c r="H449" s="37"/>
      <c r="I449" s="37" t="str">
        <f>""</f>
        <v/>
      </c>
    </row>
    <row r="450" spans="1:9" ht="15" customHeight="1">
      <c r="A450" s="37"/>
      <c r="B450" s="37" t="s">
        <v>98</v>
      </c>
      <c r="C450" s="37" t="s">
        <v>185</v>
      </c>
      <c r="D450" s="39">
        <v>2100</v>
      </c>
      <c r="E450" s="39">
        <v>225</v>
      </c>
      <c r="F450" s="39">
        <f t="shared" si="12"/>
        <v>2325</v>
      </c>
      <c r="G450" s="39">
        <v>150</v>
      </c>
      <c r="H450" s="37" t="s">
        <v>24</v>
      </c>
      <c r="I450" s="37" t="str">
        <f>""</f>
        <v/>
      </c>
    </row>
    <row r="451" spans="1:9" ht="15" customHeight="1">
      <c r="A451" s="37"/>
      <c r="B451" s="37" t="s">
        <v>98</v>
      </c>
      <c r="C451" s="37" t="s">
        <v>186</v>
      </c>
      <c r="D451" s="39">
        <v>2100</v>
      </c>
      <c r="E451" s="39">
        <v>0</v>
      </c>
      <c r="F451" s="39">
        <f t="shared" si="12"/>
        <v>2100</v>
      </c>
      <c r="G451" s="39">
        <v>150</v>
      </c>
      <c r="H451" s="37" t="s">
        <v>24</v>
      </c>
      <c r="I451" s="37" t="str">
        <f>""</f>
        <v/>
      </c>
    </row>
    <row r="452" spans="1:9" ht="15" customHeight="1">
      <c r="A452" s="37"/>
      <c r="B452" s="37" t="s">
        <v>98</v>
      </c>
      <c r="C452" s="37" t="s">
        <v>187</v>
      </c>
      <c r="D452" s="39">
        <v>0</v>
      </c>
      <c r="E452" s="39">
        <v>0</v>
      </c>
      <c r="F452" s="39">
        <f t="shared" si="12"/>
        <v>0</v>
      </c>
      <c r="G452" s="39">
        <v>0</v>
      </c>
      <c r="H452" s="37"/>
      <c r="I452" s="37" t="s">
        <v>128</v>
      </c>
    </row>
    <row r="453" spans="1:9" ht="15" customHeight="1">
      <c r="A453" s="37"/>
      <c r="B453" s="37" t="s">
        <v>98</v>
      </c>
      <c r="C453" s="37" t="s">
        <v>188</v>
      </c>
      <c r="D453" s="39">
        <v>0</v>
      </c>
      <c r="E453" s="39">
        <v>0</v>
      </c>
      <c r="F453" s="39">
        <f t="shared" si="12"/>
        <v>0</v>
      </c>
      <c r="G453" s="39">
        <v>0</v>
      </c>
      <c r="H453" s="37"/>
      <c r="I453" s="37" t="s">
        <v>128</v>
      </c>
    </row>
    <row r="454" spans="1:9" ht="15" customHeight="1">
      <c r="A454" s="37"/>
      <c r="B454" s="37"/>
      <c r="C454" s="37"/>
      <c r="D454" s="39"/>
      <c r="E454" s="39"/>
      <c r="F454" s="39"/>
      <c r="G454" s="39"/>
      <c r="H454" s="37"/>
      <c r="I454" s="37" t="str">
        <f>""</f>
        <v/>
      </c>
    </row>
    <row r="455" spans="1:9" ht="15" customHeight="1">
      <c r="A455" s="37"/>
      <c r="B455" s="39" t="s">
        <v>99</v>
      </c>
      <c r="C455" s="37" t="s">
        <v>189</v>
      </c>
      <c r="D455" s="39">
        <f>1650+(71-1)*150</f>
        <v>12150</v>
      </c>
      <c r="E455" s="39">
        <v>0</v>
      </c>
      <c r="F455" s="39">
        <f t="shared" si="12"/>
        <v>12150</v>
      </c>
      <c r="G455" s="39">
        <v>150</v>
      </c>
      <c r="H455" s="39" t="s">
        <v>104</v>
      </c>
      <c r="I455" s="37"/>
    </row>
    <row r="456" spans="1:9" ht="15" customHeight="1">
      <c r="A456" s="37"/>
      <c r="B456" s="39" t="s">
        <v>99</v>
      </c>
      <c r="C456" s="37" t="s">
        <v>190</v>
      </c>
      <c r="D456" s="39">
        <f>1650+(71-1)*150</f>
        <v>12150</v>
      </c>
      <c r="E456" s="39">
        <v>0</v>
      </c>
      <c r="F456" s="39">
        <f t="shared" si="12"/>
        <v>12150</v>
      </c>
      <c r="G456" s="39">
        <v>150</v>
      </c>
      <c r="H456" s="39" t="s">
        <v>104</v>
      </c>
      <c r="I456" s="37" t="str">
        <f>""</f>
        <v/>
      </c>
    </row>
    <row r="457" spans="1:9" ht="15" customHeight="1">
      <c r="A457" s="37"/>
      <c r="B457" s="39" t="s">
        <v>99</v>
      </c>
      <c r="C457" s="37" t="s">
        <v>191</v>
      </c>
      <c r="D457" s="39">
        <f t="shared" ref="D457:D459" si="13">1650+(71-1)*150</f>
        <v>12150</v>
      </c>
      <c r="E457" s="39">
        <v>0</v>
      </c>
      <c r="F457" s="39">
        <f t="shared" si="12"/>
        <v>12150</v>
      </c>
      <c r="G457" s="39">
        <v>150</v>
      </c>
      <c r="H457" s="39" t="s">
        <v>104</v>
      </c>
      <c r="I457" s="37" t="str">
        <f>""</f>
        <v/>
      </c>
    </row>
    <row r="458" spans="1:9" ht="15" customHeight="1">
      <c r="A458" s="37"/>
      <c r="B458" s="39" t="s">
        <v>99</v>
      </c>
      <c r="C458" s="37" t="s">
        <v>192</v>
      </c>
      <c r="D458" s="39">
        <f t="shared" si="13"/>
        <v>12150</v>
      </c>
      <c r="E458" s="39">
        <v>0</v>
      </c>
      <c r="F458" s="39">
        <f t="shared" si="12"/>
        <v>12150</v>
      </c>
      <c r="G458" s="39">
        <v>150</v>
      </c>
      <c r="H458" s="39" t="s">
        <v>104</v>
      </c>
      <c r="I458" s="37" t="str">
        <f>""</f>
        <v/>
      </c>
    </row>
    <row r="459" spans="1:9" ht="15" customHeight="1">
      <c r="A459" s="37"/>
      <c r="B459" s="39" t="s">
        <v>99</v>
      </c>
      <c r="C459" s="37" t="s">
        <v>193</v>
      </c>
      <c r="D459" s="39">
        <f t="shared" si="13"/>
        <v>12150</v>
      </c>
      <c r="E459" s="39">
        <v>0</v>
      </c>
      <c r="F459" s="39">
        <f t="shared" si="12"/>
        <v>12150</v>
      </c>
      <c r="G459" s="39">
        <v>150</v>
      </c>
      <c r="H459" s="39" t="s">
        <v>104</v>
      </c>
      <c r="I459" s="37" t="str">
        <f>""</f>
        <v/>
      </c>
    </row>
    <row r="460" spans="1:9" ht="15" customHeight="1">
      <c r="A460" s="37"/>
      <c r="B460" s="39"/>
      <c r="C460" s="37"/>
      <c r="D460" s="39"/>
      <c r="E460" s="39"/>
      <c r="F460" s="39"/>
      <c r="G460" s="39"/>
      <c r="H460" s="39"/>
      <c r="I460" s="37" t="str">
        <f>""</f>
        <v/>
      </c>
    </row>
    <row r="461" spans="1:9" ht="15" customHeight="1">
      <c r="A461" s="37"/>
      <c r="B461" s="37" t="s">
        <v>13</v>
      </c>
      <c r="C461" s="37" t="s">
        <v>194</v>
      </c>
      <c r="D461" s="39">
        <v>500</v>
      </c>
      <c r="E461" s="39">
        <v>450</v>
      </c>
      <c r="F461" s="39">
        <f t="shared" si="12"/>
        <v>950</v>
      </c>
      <c r="G461" s="39">
        <v>0</v>
      </c>
      <c r="H461" s="39"/>
      <c r="I461" s="37" t="str">
        <f>""</f>
        <v/>
      </c>
    </row>
    <row r="462" spans="1:9" ht="15" customHeight="1">
      <c r="A462" s="37"/>
      <c r="B462" s="37" t="s">
        <v>13</v>
      </c>
      <c r="C462" s="37" t="s">
        <v>195</v>
      </c>
      <c r="D462" s="39">
        <v>500</v>
      </c>
      <c r="E462" s="39">
        <v>450</v>
      </c>
      <c r="F462" s="39">
        <f t="shared" si="12"/>
        <v>950</v>
      </c>
      <c r="G462" s="39">
        <v>0</v>
      </c>
      <c r="H462" s="37"/>
      <c r="I462" s="37" t="str">
        <f>""</f>
        <v/>
      </c>
    </row>
    <row r="463" spans="1:9" ht="15" customHeight="1">
      <c r="A463" s="37"/>
      <c r="B463" s="37" t="s">
        <v>13</v>
      </c>
      <c r="C463" s="37" t="s">
        <v>196</v>
      </c>
      <c r="D463" s="39">
        <v>500</v>
      </c>
      <c r="E463" s="39">
        <v>225</v>
      </c>
      <c r="F463" s="39">
        <f t="shared" si="12"/>
        <v>725</v>
      </c>
      <c r="G463" s="39">
        <v>0</v>
      </c>
      <c r="H463" s="37"/>
      <c r="I463" s="37" t="str">
        <f>""</f>
        <v/>
      </c>
    </row>
    <row r="464" spans="1:9" ht="15" customHeight="1">
      <c r="A464" s="37"/>
      <c r="B464" s="37" t="s">
        <v>13</v>
      </c>
      <c r="C464" s="37" t="s">
        <v>197</v>
      </c>
      <c r="D464" s="39">
        <v>500</v>
      </c>
      <c r="E464" s="39">
        <v>0</v>
      </c>
      <c r="F464" s="39">
        <f t="shared" si="12"/>
        <v>500</v>
      </c>
      <c r="G464" s="39">
        <v>0</v>
      </c>
      <c r="H464" s="37"/>
      <c r="I464" s="37" t="str">
        <f>""</f>
        <v/>
      </c>
    </row>
    <row r="465" spans="1:9" ht="15" customHeight="1">
      <c r="A465" s="37"/>
      <c r="B465" s="37"/>
      <c r="C465" s="37"/>
      <c r="D465" s="39"/>
      <c r="E465" s="39"/>
      <c r="F465" s="39"/>
      <c r="G465" s="39"/>
      <c r="H465" s="37"/>
      <c r="I465" s="37" t="str">
        <f>""</f>
        <v/>
      </c>
    </row>
    <row r="466" spans="1:9" ht="15" customHeight="1">
      <c r="A466" s="37"/>
      <c r="B466" s="37" t="s">
        <v>14</v>
      </c>
      <c r="C466" s="37" t="s">
        <v>198</v>
      </c>
      <c r="D466" s="39">
        <v>4200</v>
      </c>
      <c r="E466" s="39">
        <v>225</v>
      </c>
      <c r="F466" s="39">
        <f t="shared" si="12"/>
        <v>4425</v>
      </c>
      <c r="G466" s="39">
        <v>0</v>
      </c>
      <c r="H466" s="37"/>
      <c r="I466" s="37" t="str">
        <f>""</f>
        <v/>
      </c>
    </row>
    <row r="467" spans="1:9" ht="15" customHeight="1">
      <c r="A467" s="37"/>
      <c r="B467" s="37" t="s">
        <v>14</v>
      </c>
      <c r="C467" s="37" t="s">
        <v>199</v>
      </c>
      <c r="D467" s="39">
        <v>4200</v>
      </c>
      <c r="E467" s="39">
        <v>0</v>
      </c>
      <c r="F467" s="39">
        <f t="shared" si="12"/>
        <v>4200</v>
      </c>
      <c r="G467" s="39">
        <v>0</v>
      </c>
      <c r="H467" s="37"/>
      <c r="I467" s="37" t="str">
        <f>""</f>
        <v/>
      </c>
    </row>
    <row r="468" spans="1:9" ht="15" customHeight="1">
      <c r="A468" s="37"/>
      <c r="B468" s="37" t="s">
        <v>14</v>
      </c>
      <c r="C468" s="37" t="s">
        <v>200</v>
      </c>
      <c r="D468" s="39">
        <v>0</v>
      </c>
      <c r="E468" s="39">
        <v>0</v>
      </c>
      <c r="F468" s="39">
        <f t="shared" si="12"/>
        <v>0</v>
      </c>
      <c r="G468" s="39">
        <v>0</v>
      </c>
      <c r="H468" s="37"/>
      <c r="I468" s="37" t="s">
        <v>128</v>
      </c>
    </row>
    <row r="469" spans="1:9" ht="15" customHeight="1">
      <c r="A469" s="37"/>
      <c r="B469" s="37" t="s">
        <v>14</v>
      </c>
      <c r="C469" s="37" t="s">
        <v>201</v>
      </c>
      <c r="D469" s="39">
        <v>0</v>
      </c>
      <c r="E469" s="39">
        <v>0</v>
      </c>
      <c r="F469" s="39">
        <f t="shared" si="12"/>
        <v>0</v>
      </c>
      <c r="G469" s="39">
        <v>0</v>
      </c>
      <c r="H469" s="37"/>
      <c r="I469" s="37" t="s">
        <v>128</v>
      </c>
    </row>
    <row r="470" spans="1:9" ht="15" customHeight="1">
      <c r="A470" s="37"/>
      <c r="B470" s="37"/>
      <c r="C470" s="37"/>
      <c r="D470" s="39"/>
      <c r="E470" s="39"/>
      <c r="F470" s="39"/>
      <c r="G470" s="39"/>
      <c r="H470" s="37"/>
      <c r="I470" s="37" t="str">
        <f>""</f>
        <v/>
      </c>
    </row>
    <row r="471" spans="1:9" ht="15" customHeight="1">
      <c r="A471" s="37"/>
      <c r="B471" s="37" t="s">
        <v>102</v>
      </c>
      <c r="C471" s="37" t="s">
        <v>202</v>
      </c>
      <c r="D471" s="39">
        <v>4200</v>
      </c>
      <c r="E471" s="39">
        <v>225</v>
      </c>
      <c r="F471" s="39">
        <f t="shared" si="12"/>
        <v>4425</v>
      </c>
      <c r="G471" s="39">
        <v>150</v>
      </c>
      <c r="H471" s="39" t="s">
        <v>23</v>
      </c>
      <c r="I471" s="37" t="str">
        <f>""</f>
        <v/>
      </c>
    </row>
    <row r="472" spans="1:9" ht="15" customHeight="1">
      <c r="A472" s="37"/>
      <c r="B472" s="37" t="s">
        <v>102</v>
      </c>
      <c r="C472" s="37" t="s">
        <v>203</v>
      </c>
      <c r="D472" s="39">
        <v>4200</v>
      </c>
      <c r="E472" s="39">
        <v>0</v>
      </c>
      <c r="F472" s="39">
        <f t="shared" si="12"/>
        <v>4200</v>
      </c>
      <c r="G472" s="39">
        <v>150</v>
      </c>
      <c r="H472" s="39" t="s">
        <v>23</v>
      </c>
      <c r="I472" s="37" t="str">
        <f>""</f>
        <v/>
      </c>
    </row>
    <row r="473" spans="1:9" ht="15" customHeight="1">
      <c r="A473" s="37"/>
      <c r="B473" s="37" t="s">
        <v>102</v>
      </c>
      <c r="C473" s="37" t="s">
        <v>204</v>
      </c>
      <c r="D473" s="39">
        <v>0</v>
      </c>
      <c r="E473" s="39">
        <v>0</v>
      </c>
      <c r="F473" s="39">
        <f t="shared" si="12"/>
        <v>0</v>
      </c>
      <c r="G473" s="39">
        <v>0</v>
      </c>
      <c r="H473" s="39"/>
      <c r="I473" s="37" t="s">
        <v>128</v>
      </c>
    </row>
    <row r="474" spans="1:9" ht="15" customHeight="1">
      <c r="A474" s="37"/>
      <c r="B474" s="37" t="s">
        <v>102</v>
      </c>
      <c r="C474" s="37" t="s">
        <v>205</v>
      </c>
      <c r="D474" s="39">
        <v>0</v>
      </c>
      <c r="E474" s="39">
        <v>0</v>
      </c>
      <c r="F474" s="39">
        <f t="shared" si="12"/>
        <v>0</v>
      </c>
      <c r="G474" s="39">
        <v>0</v>
      </c>
      <c r="H474" s="39"/>
      <c r="I474" s="37" t="s">
        <v>128</v>
      </c>
    </row>
    <row r="475" spans="1:9" ht="15" customHeight="1">
      <c r="A475" s="37"/>
      <c r="B475" s="37"/>
      <c r="C475" s="37"/>
      <c r="D475" s="39"/>
      <c r="E475" s="39"/>
      <c r="F475" s="39"/>
      <c r="G475" s="39"/>
      <c r="H475" s="39"/>
      <c r="I475" s="37" t="str">
        <f>""</f>
        <v/>
      </c>
    </row>
    <row r="476" spans="1:9" ht="15" customHeight="1">
      <c r="A476" s="37"/>
      <c r="B476" s="39" t="s">
        <v>103</v>
      </c>
      <c r="C476" s="37" t="s">
        <v>206</v>
      </c>
      <c r="D476" s="39">
        <f>3750+(71-10)*150</f>
        <v>12900</v>
      </c>
      <c r="E476" s="39">
        <v>0</v>
      </c>
      <c r="F476" s="39">
        <f t="shared" si="12"/>
        <v>12900</v>
      </c>
      <c r="G476" s="39">
        <v>150</v>
      </c>
      <c r="H476" s="39" t="s">
        <v>104</v>
      </c>
      <c r="I476" s="37"/>
    </row>
    <row r="477" spans="1:9" ht="15" customHeight="1">
      <c r="A477" s="37"/>
      <c r="B477" s="39" t="s">
        <v>103</v>
      </c>
      <c r="C477" s="37" t="s">
        <v>207</v>
      </c>
      <c r="D477" s="39">
        <f>3750+(71-10)*150</f>
        <v>12900</v>
      </c>
      <c r="E477" s="39">
        <v>0</v>
      </c>
      <c r="F477" s="39">
        <f t="shared" si="12"/>
        <v>12900</v>
      </c>
      <c r="G477" s="39">
        <v>150</v>
      </c>
      <c r="H477" s="39" t="s">
        <v>104</v>
      </c>
      <c r="I477" s="37" t="str">
        <f>""</f>
        <v/>
      </c>
    </row>
    <row r="478" spans="1:9" ht="15" customHeight="1">
      <c r="A478" s="37"/>
      <c r="B478" s="39" t="s">
        <v>103</v>
      </c>
      <c r="C478" s="37" t="s">
        <v>208</v>
      </c>
      <c r="D478" s="39">
        <f t="shared" ref="D478:D480" si="14">3750+(71-10)*150</f>
        <v>12900</v>
      </c>
      <c r="E478" s="39">
        <v>0</v>
      </c>
      <c r="F478" s="39">
        <f t="shared" si="12"/>
        <v>12900</v>
      </c>
      <c r="G478" s="39">
        <v>150</v>
      </c>
      <c r="H478" s="39" t="s">
        <v>104</v>
      </c>
      <c r="I478" s="37" t="str">
        <f>""</f>
        <v/>
      </c>
    </row>
    <row r="479" spans="1:9" ht="15.75" customHeight="1">
      <c r="A479" s="37"/>
      <c r="B479" s="39" t="s">
        <v>103</v>
      </c>
      <c r="C479" s="37" t="s">
        <v>209</v>
      </c>
      <c r="D479" s="39">
        <f t="shared" si="14"/>
        <v>12900</v>
      </c>
      <c r="E479" s="39">
        <v>0</v>
      </c>
      <c r="F479" s="39">
        <f t="shared" si="12"/>
        <v>12900</v>
      </c>
      <c r="G479" s="39">
        <v>150</v>
      </c>
      <c r="H479" s="39" t="s">
        <v>104</v>
      </c>
      <c r="I479" s="37" t="str">
        <f>""</f>
        <v/>
      </c>
    </row>
    <row r="480" spans="1:9" ht="15" customHeight="1">
      <c r="A480" s="37"/>
      <c r="B480" s="39" t="s">
        <v>103</v>
      </c>
      <c r="C480" s="37" t="s">
        <v>210</v>
      </c>
      <c r="D480" s="39">
        <f t="shared" si="14"/>
        <v>12900</v>
      </c>
      <c r="E480" s="39">
        <v>0</v>
      </c>
      <c r="F480" s="39">
        <f t="shared" si="12"/>
        <v>12900</v>
      </c>
      <c r="G480" s="39">
        <v>150</v>
      </c>
      <c r="H480" s="39" t="s">
        <v>104</v>
      </c>
      <c r="I480" s="37" t="str">
        <f>""</f>
        <v/>
      </c>
    </row>
    <row r="481" spans="1:9" ht="15" customHeight="1">
      <c r="A481" s="37"/>
      <c r="B481" s="39"/>
      <c r="C481" s="39"/>
      <c r="D481" s="39"/>
      <c r="E481" s="39"/>
      <c r="F481" s="39"/>
      <c r="G481" s="39"/>
      <c r="H481" s="39"/>
      <c r="I481" s="37" t="str">
        <f>""</f>
        <v/>
      </c>
    </row>
    <row r="482" spans="1:9" ht="15" customHeight="1">
      <c r="A482" s="37"/>
      <c r="B482" s="37" t="s">
        <v>15</v>
      </c>
      <c r="C482" s="37" t="s">
        <v>211</v>
      </c>
      <c r="D482" s="39">
        <v>500</v>
      </c>
      <c r="E482" s="39">
        <v>450</v>
      </c>
      <c r="F482" s="39">
        <f t="shared" si="12"/>
        <v>950</v>
      </c>
      <c r="G482" s="39">
        <v>0</v>
      </c>
      <c r="H482" s="39"/>
      <c r="I482" s="37" t="str">
        <f>""</f>
        <v/>
      </c>
    </row>
    <row r="483" spans="1:9" ht="15" customHeight="1">
      <c r="A483" s="37"/>
      <c r="B483" s="37" t="s">
        <v>15</v>
      </c>
      <c r="C483" s="37" t="s">
        <v>212</v>
      </c>
      <c r="D483" s="39">
        <v>500</v>
      </c>
      <c r="E483" s="39">
        <v>450</v>
      </c>
      <c r="F483" s="39">
        <f t="shared" si="12"/>
        <v>950</v>
      </c>
      <c r="G483" s="39">
        <v>0</v>
      </c>
      <c r="H483" s="37"/>
      <c r="I483" s="37" t="str">
        <f>""</f>
        <v/>
      </c>
    </row>
    <row r="484" spans="1:9" ht="15" customHeight="1">
      <c r="A484" s="37"/>
      <c r="B484" s="37" t="s">
        <v>15</v>
      </c>
      <c r="C484" s="37" t="s">
        <v>213</v>
      </c>
      <c r="D484" s="39">
        <v>500</v>
      </c>
      <c r="E484" s="39">
        <v>225</v>
      </c>
      <c r="F484" s="39">
        <f t="shared" si="12"/>
        <v>725</v>
      </c>
      <c r="G484" s="39">
        <v>0</v>
      </c>
      <c r="H484" s="37"/>
      <c r="I484" s="37" t="str">
        <f>""</f>
        <v/>
      </c>
    </row>
    <row r="485" spans="1:9" ht="15" customHeight="1">
      <c r="A485" s="37"/>
      <c r="B485" s="37" t="s">
        <v>15</v>
      </c>
      <c r="C485" s="37" t="s">
        <v>214</v>
      </c>
      <c r="D485" s="39">
        <v>500</v>
      </c>
      <c r="E485" s="39"/>
      <c r="F485" s="39">
        <f t="shared" si="12"/>
        <v>500</v>
      </c>
      <c r="G485" s="39">
        <v>0</v>
      </c>
      <c r="H485" s="37"/>
      <c r="I485" s="37" t="str">
        <f>""</f>
        <v/>
      </c>
    </row>
    <row r="486" spans="1:9" ht="15" customHeight="1">
      <c r="A486" s="37"/>
      <c r="B486" s="37"/>
      <c r="C486" s="37"/>
      <c r="D486" s="39"/>
      <c r="E486" s="39"/>
      <c r="F486" s="39"/>
      <c r="G486" s="39"/>
      <c r="H486" s="37"/>
      <c r="I486" s="37" t="str">
        <f>""</f>
        <v/>
      </c>
    </row>
    <row r="487" spans="1:9" ht="15" customHeight="1">
      <c r="A487" s="37"/>
      <c r="B487" s="37" t="s">
        <v>16</v>
      </c>
      <c r="C487" s="37" t="s">
        <v>215</v>
      </c>
      <c r="D487" s="39">
        <v>4200</v>
      </c>
      <c r="E487" s="39">
        <v>225</v>
      </c>
      <c r="F487" s="39">
        <f t="shared" si="12"/>
        <v>4425</v>
      </c>
      <c r="G487" s="39">
        <v>0</v>
      </c>
      <c r="H487" s="37"/>
      <c r="I487" s="37" t="str">
        <f>""</f>
        <v/>
      </c>
    </row>
    <row r="488" spans="1:9" ht="15" customHeight="1">
      <c r="A488" s="37"/>
      <c r="B488" s="37" t="s">
        <v>16</v>
      </c>
      <c r="C488" s="37" t="s">
        <v>216</v>
      </c>
      <c r="D488" s="39">
        <v>4200</v>
      </c>
      <c r="E488" s="39">
        <v>0</v>
      </c>
      <c r="F488" s="39">
        <f t="shared" si="12"/>
        <v>4200</v>
      </c>
      <c r="G488" s="39">
        <v>0</v>
      </c>
      <c r="H488" s="37"/>
      <c r="I488" s="37" t="str">
        <f>""</f>
        <v/>
      </c>
    </row>
    <row r="489" spans="1:9" ht="15" customHeight="1">
      <c r="A489" s="37"/>
      <c r="B489" s="37" t="s">
        <v>16</v>
      </c>
      <c r="C489" s="37" t="s">
        <v>217</v>
      </c>
      <c r="D489" s="39">
        <v>0</v>
      </c>
      <c r="E489" s="39">
        <v>0</v>
      </c>
      <c r="F489" s="39">
        <f t="shared" si="12"/>
        <v>0</v>
      </c>
      <c r="G489" s="39">
        <v>0</v>
      </c>
      <c r="H489" s="37"/>
      <c r="I489" s="37" t="s">
        <v>128</v>
      </c>
    </row>
    <row r="490" spans="1:9" ht="15" customHeight="1">
      <c r="A490" s="37"/>
      <c r="B490" s="37" t="s">
        <v>16</v>
      </c>
      <c r="C490" s="37" t="s">
        <v>218</v>
      </c>
      <c r="D490" s="39">
        <v>0</v>
      </c>
      <c r="E490" s="39">
        <v>0</v>
      </c>
      <c r="F490" s="39">
        <f t="shared" si="12"/>
        <v>0</v>
      </c>
      <c r="G490" s="39">
        <v>0</v>
      </c>
      <c r="H490" s="37"/>
      <c r="I490" s="37" t="s">
        <v>128</v>
      </c>
    </row>
    <row r="491" spans="1:9" ht="15" customHeight="1">
      <c r="A491" s="37"/>
      <c r="B491" s="37"/>
      <c r="C491" s="37"/>
      <c r="D491" s="39"/>
      <c r="E491" s="39"/>
      <c r="F491" s="39"/>
      <c r="G491" s="39"/>
      <c r="H491" s="37"/>
      <c r="I491" s="37" t="str">
        <f>""</f>
        <v/>
      </c>
    </row>
    <row r="492" spans="1:9" ht="15" customHeight="1">
      <c r="A492" s="37"/>
      <c r="B492" s="37" t="s">
        <v>101</v>
      </c>
      <c r="C492" s="37" t="s">
        <v>219</v>
      </c>
      <c r="D492" s="39">
        <v>4200</v>
      </c>
      <c r="E492" s="39">
        <v>225</v>
      </c>
      <c r="F492" s="39">
        <f t="shared" si="12"/>
        <v>4425</v>
      </c>
      <c r="G492" s="39">
        <v>150</v>
      </c>
      <c r="H492" s="39" t="s">
        <v>23</v>
      </c>
      <c r="I492" s="37" t="str">
        <f>""</f>
        <v/>
      </c>
    </row>
    <row r="493" spans="1:9" ht="15" customHeight="1">
      <c r="A493" s="37"/>
      <c r="B493" s="37" t="s">
        <v>101</v>
      </c>
      <c r="C493" s="37" t="s">
        <v>220</v>
      </c>
      <c r="D493" s="39">
        <v>4200</v>
      </c>
      <c r="E493" s="39">
        <v>0</v>
      </c>
      <c r="F493" s="39">
        <f t="shared" si="12"/>
        <v>4200</v>
      </c>
      <c r="G493" s="39">
        <v>150</v>
      </c>
      <c r="H493" s="39" t="s">
        <v>23</v>
      </c>
      <c r="I493" s="37" t="str">
        <f>""</f>
        <v/>
      </c>
    </row>
    <row r="494" spans="1:9" ht="15" customHeight="1">
      <c r="A494" s="37"/>
      <c r="B494" s="37" t="s">
        <v>101</v>
      </c>
      <c r="C494" s="37" t="s">
        <v>221</v>
      </c>
      <c r="D494" s="39">
        <v>0</v>
      </c>
      <c r="E494" s="39">
        <v>0</v>
      </c>
      <c r="F494" s="39">
        <f t="shared" si="12"/>
        <v>0</v>
      </c>
      <c r="G494" s="39">
        <v>0</v>
      </c>
      <c r="H494" s="39" t="s">
        <v>23</v>
      </c>
      <c r="I494" s="37" t="s">
        <v>128</v>
      </c>
    </row>
    <row r="495" spans="1:9" ht="15" customHeight="1">
      <c r="A495" s="37"/>
      <c r="B495" s="37" t="s">
        <v>101</v>
      </c>
      <c r="C495" s="37" t="s">
        <v>222</v>
      </c>
      <c r="D495" s="39">
        <v>0</v>
      </c>
      <c r="E495" s="39">
        <v>0</v>
      </c>
      <c r="F495" s="39">
        <f t="shared" si="12"/>
        <v>0</v>
      </c>
      <c r="G495" s="39">
        <v>0</v>
      </c>
      <c r="H495" s="39" t="s">
        <v>23</v>
      </c>
      <c r="I495" s="37" t="s">
        <v>128</v>
      </c>
    </row>
    <row r="496" spans="1:9" ht="15" customHeight="1">
      <c r="A496" s="37"/>
      <c r="B496" s="37"/>
      <c r="C496" s="37"/>
      <c r="D496" s="39"/>
      <c r="E496" s="39"/>
      <c r="F496" s="39"/>
      <c r="G496" s="39"/>
      <c r="H496" s="39"/>
      <c r="I496" s="37" t="str">
        <f>""</f>
        <v/>
      </c>
    </row>
    <row r="497" spans="1:9" ht="15" customHeight="1">
      <c r="A497" s="37"/>
      <c r="B497" s="39" t="s">
        <v>100</v>
      </c>
      <c r="C497" s="37" t="s">
        <v>223</v>
      </c>
      <c r="D497" s="39">
        <f>3750+(71-10)*150</f>
        <v>12900</v>
      </c>
      <c r="E497" s="39">
        <v>0</v>
      </c>
      <c r="F497" s="39">
        <f t="shared" si="12"/>
        <v>12900</v>
      </c>
      <c r="G497" s="39">
        <v>150</v>
      </c>
      <c r="H497" s="39" t="s">
        <v>104</v>
      </c>
      <c r="I497" s="37"/>
    </row>
    <row r="498" spans="1:9" ht="15" customHeight="1">
      <c r="A498" s="37"/>
      <c r="B498" s="39" t="s">
        <v>100</v>
      </c>
      <c r="C498" s="37" t="s">
        <v>224</v>
      </c>
      <c r="D498" s="39">
        <f>3750+(71-10)*150</f>
        <v>12900</v>
      </c>
      <c r="E498" s="39">
        <v>0</v>
      </c>
      <c r="F498" s="39">
        <f t="shared" si="12"/>
        <v>12900</v>
      </c>
      <c r="G498" s="39">
        <v>150</v>
      </c>
      <c r="H498" s="39" t="s">
        <v>104</v>
      </c>
      <c r="I498" s="37" t="str">
        <f>""</f>
        <v/>
      </c>
    </row>
    <row r="499" spans="1:9" ht="15" customHeight="1">
      <c r="A499" s="37"/>
      <c r="B499" s="39" t="s">
        <v>100</v>
      </c>
      <c r="C499" s="37" t="s">
        <v>225</v>
      </c>
      <c r="D499" s="39">
        <f t="shared" ref="D499:D501" si="15">3750+(71-10)*150</f>
        <v>12900</v>
      </c>
      <c r="E499" s="39">
        <v>0</v>
      </c>
      <c r="F499" s="39">
        <f t="shared" si="12"/>
        <v>12900</v>
      </c>
      <c r="G499" s="39">
        <v>150</v>
      </c>
      <c r="H499" s="39" t="s">
        <v>104</v>
      </c>
      <c r="I499" s="37" t="str">
        <f>""</f>
        <v/>
      </c>
    </row>
    <row r="500" spans="1:9" ht="15" customHeight="1">
      <c r="A500" s="37"/>
      <c r="B500" s="39" t="s">
        <v>100</v>
      </c>
      <c r="C500" s="37" t="s">
        <v>226</v>
      </c>
      <c r="D500" s="39">
        <f t="shared" si="15"/>
        <v>12900</v>
      </c>
      <c r="E500" s="39">
        <v>0</v>
      </c>
      <c r="F500" s="39">
        <f t="shared" si="12"/>
        <v>12900</v>
      </c>
      <c r="G500" s="39">
        <v>150</v>
      </c>
      <c r="H500" s="39" t="s">
        <v>104</v>
      </c>
      <c r="I500" s="37" t="str">
        <f>""</f>
        <v/>
      </c>
    </row>
    <row r="501" spans="1:9" ht="15" customHeight="1">
      <c r="A501" s="37"/>
      <c r="B501" s="39" t="s">
        <v>100</v>
      </c>
      <c r="C501" s="37" t="s">
        <v>227</v>
      </c>
      <c r="D501" s="39">
        <f t="shared" si="15"/>
        <v>12900</v>
      </c>
      <c r="E501" s="39">
        <v>0</v>
      </c>
      <c r="F501" s="39">
        <f t="shared" si="12"/>
        <v>12900</v>
      </c>
      <c r="G501" s="39">
        <v>150</v>
      </c>
      <c r="H501" s="39" t="s">
        <v>104</v>
      </c>
      <c r="I501" s="37" t="str">
        <f>""</f>
        <v/>
      </c>
    </row>
    <row r="502" spans="1:9" ht="15" customHeight="1">
      <c r="A502" s="37"/>
      <c r="B502" s="39"/>
      <c r="C502" s="37"/>
      <c r="D502" s="39"/>
      <c r="E502" s="39"/>
      <c r="F502" s="39"/>
      <c r="G502" s="39"/>
      <c r="H502" s="39"/>
      <c r="I502" s="37"/>
    </row>
    <row r="503" spans="1:9" ht="15" customHeight="1">
      <c r="A503" s="37"/>
      <c r="B503" s="39"/>
      <c r="C503" s="37"/>
      <c r="D503" s="39"/>
      <c r="E503" s="39"/>
      <c r="F503" s="39"/>
      <c r="G503" s="39"/>
      <c r="H503" s="39"/>
      <c r="I503" s="37"/>
    </row>
    <row r="504" spans="1:9" ht="15" customHeight="1">
      <c r="A504" s="37"/>
      <c r="B504" s="33" t="s">
        <v>357</v>
      </c>
      <c r="C504" s="34" t="s">
        <v>358</v>
      </c>
      <c r="D504" s="35" t="s">
        <v>176</v>
      </c>
      <c r="E504" s="36" t="s">
        <v>177</v>
      </c>
      <c r="F504" s="36" t="s">
        <v>178</v>
      </c>
      <c r="G504" s="36" t="s">
        <v>179</v>
      </c>
      <c r="H504" s="37"/>
      <c r="I504" s="37" t="str">
        <f>""</f>
        <v/>
      </c>
    </row>
    <row r="505" spans="1:9" ht="15" customHeight="1">
      <c r="A505" s="37"/>
      <c r="B505" s="37" t="s">
        <v>31</v>
      </c>
      <c r="C505" s="37" t="s">
        <v>31</v>
      </c>
      <c r="D505" s="38">
        <v>0</v>
      </c>
      <c r="E505" s="36">
        <v>0</v>
      </c>
      <c r="F505" s="36">
        <v>0</v>
      </c>
      <c r="G505" s="36">
        <v>0</v>
      </c>
      <c r="H505" s="37"/>
      <c r="I505" s="37" t="str">
        <f>""</f>
        <v/>
      </c>
    </row>
    <row r="506" spans="1:9" ht="15" customHeight="1">
      <c r="A506" s="37"/>
      <c r="B506" s="37"/>
      <c r="C506" s="37"/>
      <c r="D506" s="38"/>
      <c r="E506" s="36"/>
      <c r="F506" s="36"/>
      <c r="G506" s="36"/>
      <c r="H506" s="37"/>
      <c r="I506" s="37" t="str">
        <f>""</f>
        <v/>
      </c>
    </row>
    <row r="507" spans="1:9" ht="15" customHeight="1">
      <c r="A507" s="37"/>
      <c r="B507" s="37" t="s">
        <v>98</v>
      </c>
      <c r="C507" s="37" t="s">
        <v>271</v>
      </c>
      <c r="D507" s="116">
        <v>2100</v>
      </c>
      <c r="E507" s="116">
        <v>225</v>
      </c>
      <c r="F507" s="116">
        <f t="shared" ref="F507:F510" si="16">D507+E507</f>
        <v>2325</v>
      </c>
      <c r="G507" s="116">
        <v>150</v>
      </c>
      <c r="H507" s="37" t="s">
        <v>24</v>
      </c>
      <c r="I507" s="37" t="str">
        <f>""</f>
        <v/>
      </c>
    </row>
    <row r="508" spans="1:9" ht="15" customHeight="1">
      <c r="A508" s="37"/>
      <c r="B508" s="37" t="s">
        <v>98</v>
      </c>
      <c r="C508" s="37" t="s">
        <v>272</v>
      </c>
      <c r="D508" s="116">
        <v>2100</v>
      </c>
      <c r="E508" s="39">
        <v>0</v>
      </c>
      <c r="F508" s="116">
        <f t="shared" si="16"/>
        <v>2100</v>
      </c>
      <c r="G508" s="116">
        <v>150</v>
      </c>
      <c r="H508" s="37" t="s">
        <v>24</v>
      </c>
      <c r="I508" s="37" t="str">
        <f>""</f>
        <v/>
      </c>
    </row>
    <row r="509" spans="1:9" ht="15" customHeight="1">
      <c r="A509" s="37"/>
      <c r="B509" s="37" t="s">
        <v>98</v>
      </c>
      <c r="C509" s="37" t="s">
        <v>273</v>
      </c>
      <c r="D509" s="39">
        <v>0</v>
      </c>
      <c r="E509" s="39">
        <v>0</v>
      </c>
      <c r="F509" s="39">
        <f t="shared" si="16"/>
        <v>0</v>
      </c>
      <c r="G509" s="39">
        <v>0</v>
      </c>
      <c r="H509" s="37"/>
      <c r="I509" s="37" t="s">
        <v>128</v>
      </c>
    </row>
    <row r="510" spans="1:9" ht="15" customHeight="1">
      <c r="A510" s="37"/>
      <c r="B510" s="37" t="s">
        <v>98</v>
      </c>
      <c r="C510" s="37" t="s">
        <v>274</v>
      </c>
      <c r="D510" s="39">
        <v>0</v>
      </c>
      <c r="E510" s="39">
        <v>0</v>
      </c>
      <c r="F510" s="39">
        <f t="shared" si="16"/>
        <v>0</v>
      </c>
      <c r="G510" s="39">
        <v>0</v>
      </c>
      <c r="H510" s="37"/>
      <c r="I510" s="37" t="s">
        <v>128</v>
      </c>
    </row>
    <row r="511" spans="1:9" ht="15" customHeight="1">
      <c r="A511" s="37"/>
      <c r="B511" s="37"/>
      <c r="C511" s="37"/>
      <c r="D511" s="39"/>
      <c r="E511" s="39"/>
      <c r="F511" s="39"/>
      <c r="G511" s="39"/>
      <c r="H511" s="37"/>
      <c r="I511" s="37" t="str">
        <f>""</f>
        <v/>
      </c>
    </row>
    <row r="512" spans="1:9" ht="15" customHeight="1">
      <c r="A512" s="37"/>
      <c r="B512" s="39"/>
      <c r="C512" s="37"/>
      <c r="D512" s="39"/>
      <c r="E512" s="39"/>
      <c r="F512" s="39"/>
      <c r="G512" s="39"/>
      <c r="H512" s="39"/>
      <c r="I512" s="37"/>
    </row>
    <row r="513" spans="1:9" ht="15" customHeight="1">
      <c r="A513" s="37"/>
      <c r="B513" s="33" t="s">
        <v>175</v>
      </c>
      <c r="C513" s="34" t="s">
        <v>359</v>
      </c>
      <c r="D513" s="35" t="s">
        <v>176</v>
      </c>
      <c r="E513" s="36" t="s">
        <v>177</v>
      </c>
      <c r="F513" s="36" t="s">
        <v>178</v>
      </c>
      <c r="G513" s="36" t="s">
        <v>179</v>
      </c>
      <c r="H513" s="37"/>
      <c r="I513" s="37" t="str">
        <f>""</f>
        <v/>
      </c>
    </row>
    <row r="514" spans="1:9" ht="15" customHeight="1">
      <c r="A514" s="37"/>
      <c r="B514" s="37" t="s">
        <v>31</v>
      </c>
      <c r="C514" s="37" t="s">
        <v>31</v>
      </c>
      <c r="D514" s="38">
        <v>0</v>
      </c>
      <c r="E514" s="36">
        <v>0</v>
      </c>
      <c r="F514" s="36">
        <v>0</v>
      </c>
      <c r="G514" s="36">
        <v>0</v>
      </c>
      <c r="H514" s="37"/>
      <c r="I514" s="37" t="str">
        <f>""</f>
        <v/>
      </c>
    </row>
    <row r="515" spans="1:9" ht="15" customHeight="1">
      <c r="A515" s="37"/>
      <c r="B515" s="37"/>
      <c r="C515" s="37"/>
      <c r="D515" s="38"/>
      <c r="E515" s="36"/>
      <c r="F515" s="36"/>
      <c r="G515" s="36"/>
      <c r="H515" s="37"/>
      <c r="I515" s="37" t="str">
        <f>""</f>
        <v/>
      </c>
    </row>
    <row r="516" spans="1:9" ht="15" customHeight="1">
      <c r="A516" s="37"/>
      <c r="B516" s="37" t="s">
        <v>12</v>
      </c>
      <c r="C516" s="37" t="s">
        <v>228</v>
      </c>
      <c r="D516" s="38">
        <v>500</v>
      </c>
      <c r="E516" s="38">
        <v>450</v>
      </c>
      <c r="F516" s="39">
        <f>D516+E516</f>
        <v>950</v>
      </c>
      <c r="G516" s="38">
        <v>0</v>
      </c>
      <c r="H516" s="37"/>
      <c r="I516" s="37" t="str">
        <f>""</f>
        <v/>
      </c>
    </row>
    <row r="517" spans="1:9" ht="15" customHeight="1">
      <c r="A517" s="37"/>
      <c r="B517" s="37" t="s">
        <v>12</v>
      </c>
      <c r="C517" s="37" t="s">
        <v>229</v>
      </c>
      <c r="D517" s="39">
        <v>500</v>
      </c>
      <c r="E517" s="39">
        <v>450</v>
      </c>
      <c r="F517" s="39">
        <f>D517+E517</f>
        <v>950</v>
      </c>
      <c r="G517" s="39">
        <v>0</v>
      </c>
      <c r="H517" s="37"/>
      <c r="I517" s="37" t="str">
        <f>""</f>
        <v/>
      </c>
    </row>
    <row r="518" spans="1:9" ht="15" customHeight="1">
      <c r="A518" s="37"/>
      <c r="B518" s="37" t="s">
        <v>12</v>
      </c>
      <c r="C518" s="37" t="s">
        <v>230</v>
      </c>
      <c r="D518" s="39">
        <v>500</v>
      </c>
      <c r="E518" s="39">
        <v>225</v>
      </c>
      <c r="F518" s="39">
        <f t="shared" ref="F518:F519" si="17">D518+E518</f>
        <v>725</v>
      </c>
      <c r="G518" s="39">
        <v>0</v>
      </c>
      <c r="H518" s="37"/>
      <c r="I518" s="37" t="str">
        <f>""</f>
        <v/>
      </c>
    </row>
    <row r="519" spans="1:9" ht="15" customHeight="1">
      <c r="A519" s="37"/>
      <c r="B519" s="37" t="s">
        <v>12</v>
      </c>
      <c r="C519" s="37" t="s">
        <v>231</v>
      </c>
      <c r="D519" s="39">
        <v>500</v>
      </c>
      <c r="E519" s="39">
        <v>0</v>
      </c>
      <c r="F519" s="39">
        <f t="shared" si="17"/>
        <v>500</v>
      </c>
      <c r="G519" s="39">
        <v>0</v>
      </c>
      <c r="H519" s="37"/>
      <c r="I519" s="37" t="str">
        <f>""</f>
        <v/>
      </c>
    </row>
    <row r="520" spans="1:9" ht="15" customHeight="1">
      <c r="A520" s="37"/>
      <c r="B520" s="37"/>
      <c r="C520" s="37"/>
      <c r="D520" s="39"/>
      <c r="E520" s="39"/>
      <c r="F520" s="39"/>
      <c r="G520" s="39"/>
      <c r="H520" s="37"/>
      <c r="I520" s="37" t="str">
        <f>""</f>
        <v/>
      </c>
    </row>
    <row r="521" spans="1:9" ht="15" customHeight="1">
      <c r="A521" s="37"/>
      <c r="B521" s="37" t="s">
        <v>98</v>
      </c>
      <c r="C521" s="37" t="s">
        <v>275</v>
      </c>
      <c r="D521" s="116">
        <v>1250</v>
      </c>
      <c r="E521" s="116">
        <v>200</v>
      </c>
      <c r="F521" s="116">
        <f t="shared" ref="F521:F524" si="18">D521+E521</f>
        <v>1450</v>
      </c>
      <c r="G521" s="116">
        <v>225</v>
      </c>
      <c r="H521" s="37" t="s">
        <v>24</v>
      </c>
      <c r="I521" s="37" t="str">
        <f>""</f>
        <v/>
      </c>
    </row>
    <row r="522" spans="1:9" ht="15" customHeight="1">
      <c r="A522" s="37"/>
      <c r="B522" s="37" t="s">
        <v>98</v>
      </c>
      <c r="C522" s="37" t="s">
        <v>276</v>
      </c>
      <c r="D522" s="116">
        <v>1250</v>
      </c>
      <c r="E522" s="39">
        <v>0</v>
      </c>
      <c r="F522" s="116">
        <f t="shared" si="18"/>
        <v>1250</v>
      </c>
      <c r="G522" s="116">
        <v>225</v>
      </c>
      <c r="H522" s="37" t="s">
        <v>24</v>
      </c>
      <c r="I522" s="37" t="str">
        <f>""</f>
        <v/>
      </c>
    </row>
    <row r="523" spans="1:9" ht="15" customHeight="1">
      <c r="A523" s="37"/>
      <c r="B523" s="37" t="s">
        <v>98</v>
      </c>
      <c r="C523" s="37" t="s">
        <v>277</v>
      </c>
      <c r="D523" s="39">
        <v>0</v>
      </c>
      <c r="E523" s="39">
        <v>0</v>
      </c>
      <c r="F523" s="39">
        <f t="shared" si="18"/>
        <v>0</v>
      </c>
      <c r="G523" s="39">
        <v>0</v>
      </c>
      <c r="H523" s="37"/>
      <c r="I523" s="37" t="s">
        <v>128</v>
      </c>
    </row>
    <row r="524" spans="1:9" ht="15" customHeight="1">
      <c r="A524" s="37"/>
      <c r="B524" s="37" t="s">
        <v>98</v>
      </c>
      <c r="C524" s="37" t="s">
        <v>278</v>
      </c>
      <c r="D524" s="39">
        <v>0</v>
      </c>
      <c r="E524" s="39">
        <v>0</v>
      </c>
      <c r="F524" s="39">
        <f t="shared" si="18"/>
        <v>0</v>
      </c>
      <c r="G524" s="39">
        <v>0</v>
      </c>
      <c r="H524" s="37"/>
      <c r="I524" s="37" t="s">
        <v>128</v>
      </c>
    </row>
    <row r="525" spans="1:9" ht="15" customHeight="1">
      <c r="A525" s="37"/>
      <c r="B525" s="37"/>
      <c r="C525" s="37"/>
      <c r="D525" s="39"/>
      <c r="E525" s="39"/>
      <c r="F525" s="39"/>
      <c r="G525" s="39"/>
      <c r="H525" s="37"/>
      <c r="I525" s="37" t="str">
        <f>""</f>
        <v/>
      </c>
    </row>
    <row r="526" spans="1:9" ht="15" customHeight="1">
      <c r="A526" s="37"/>
      <c r="B526" s="39" t="s">
        <v>99</v>
      </c>
      <c r="C526" s="37" t="s">
        <v>232</v>
      </c>
      <c r="D526" s="39">
        <f>1650+(71-1)*150</f>
        <v>12150</v>
      </c>
      <c r="E526" s="39">
        <v>0</v>
      </c>
      <c r="F526" s="39">
        <f t="shared" ref="F526:F530" si="19">D526+E526</f>
        <v>12150</v>
      </c>
      <c r="G526" s="39">
        <v>150</v>
      </c>
      <c r="H526" s="39" t="s">
        <v>104</v>
      </c>
      <c r="I526" s="37"/>
    </row>
    <row r="527" spans="1:9" ht="15" customHeight="1">
      <c r="A527" s="37"/>
      <c r="B527" s="39" t="s">
        <v>99</v>
      </c>
      <c r="C527" s="37" t="s">
        <v>233</v>
      </c>
      <c r="D527" s="39">
        <f>1650+(71-1)*150</f>
        <v>12150</v>
      </c>
      <c r="E527" s="39">
        <v>0</v>
      </c>
      <c r="F527" s="39">
        <f t="shared" si="19"/>
        <v>12150</v>
      </c>
      <c r="G527" s="39">
        <v>150</v>
      </c>
      <c r="H527" s="39" t="s">
        <v>104</v>
      </c>
      <c r="I527" s="37" t="str">
        <f>""</f>
        <v/>
      </c>
    </row>
    <row r="528" spans="1:9" ht="15" customHeight="1">
      <c r="A528" s="37"/>
      <c r="B528" s="39" t="s">
        <v>99</v>
      </c>
      <c r="C528" s="37" t="s">
        <v>234</v>
      </c>
      <c r="D528" s="39">
        <f t="shared" ref="D528:D530" si="20">1650+(71-1)*150</f>
        <v>12150</v>
      </c>
      <c r="E528" s="39">
        <v>0</v>
      </c>
      <c r="F528" s="39">
        <f t="shared" si="19"/>
        <v>12150</v>
      </c>
      <c r="G528" s="39">
        <v>150</v>
      </c>
      <c r="H528" s="39" t="s">
        <v>104</v>
      </c>
      <c r="I528" s="37" t="str">
        <f>""</f>
        <v/>
      </c>
    </row>
    <row r="529" spans="1:9" ht="15" customHeight="1">
      <c r="A529" s="37"/>
      <c r="B529" s="39" t="s">
        <v>99</v>
      </c>
      <c r="C529" s="37" t="s">
        <v>235</v>
      </c>
      <c r="D529" s="39">
        <f t="shared" si="20"/>
        <v>12150</v>
      </c>
      <c r="E529" s="39">
        <v>0</v>
      </c>
      <c r="F529" s="39">
        <f t="shared" si="19"/>
        <v>12150</v>
      </c>
      <c r="G529" s="39">
        <v>150</v>
      </c>
      <c r="H529" s="39" t="s">
        <v>104</v>
      </c>
      <c r="I529" s="37" t="str">
        <f>""</f>
        <v/>
      </c>
    </row>
    <row r="530" spans="1:9" ht="15" customHeight="1">
      <c r="A530" s="37"/>
      <c r="B530" s="39" t="s">
        <v>99</v>
      </c>
      <c r="C530" s="37" t="s">
        <v>236</v>
      </c>
      <c r="D530" s="39">
        <f t="shared" si="20"/>
        <v>12150</v>
      </c>
      <c r="E530" s="39">
        <v>0</v>
      </c>
      <c r="F530" s="39">
        <f t="shared" si="19"/>
        <v>12150</v>
      </c>
      <c r="G530" s="39">
        <v>150</v>
      </c>
      <c r="H530" s="39" t="s">
        <v>104</v>
      </c>
      <c r="I530" s="37" t="str">
        <f>""</f>
        <v/>
      </c>
    </row>
    <row r="531" spans="1:9" ht="15" customHeight="1">
      <c r="A531" s="37"/>
      <c r="B531" s="39"/>
      <c r="C531" s="37"/>
      <c r="D531" s="39"/>
      <c r="E531" s="39"/>
      <c r="F531" s="39"/>
      <c r="G531" s="39"/>
      <c r="H531" s="39"/>
      <c r="I531" s="37" t="str">
        <f>""</f>
        <v/>
      </c>
    </row>
    <row r="532" spans="1:9" ht="15" customHeight="1">
      <c r="A532" s="37"/>
      <c r="B532" s="37" t="s">
        <v>13</v>
      </c>
      <c r="C532" s="37" t="s">
        <v>237</v>
      </c>
      <c r="D532" s="39">
        <v>500</v>
      </c>
      <c r="E532" s="39">
        <v>450</v>
      </c>
      <c r="F532" s="39">
        <f t="shared" ref="F532:F535" si="21">D532+E532</f>
        <v>950</v>
      </c>
      <c r="G532" s="39">
        <v>0</v>
      </c>
      <c r="H532" s="39"/>
      <c r="I532" s="37" t="str">
        <f>""</f>
        <v/>
      </c>
    </row>
    <row r="533" spans="1:9" ht="15" customHeight="1">
      <c r="A533" s="37"/>
      <c r="B533" s="37" t="s">
        <v>13</v>
      </c>
      <c r="C533" s="37" t="s">
        <v>238</v>
      </c>
      <c r="D533" s="39">
        <v>500</v>
      </c>
      <c r="E533" s="39">
        <v>450</v>
      </c>
      <c r="F533" s="39">
        <f t="shared" si="21"/>
        <v>950</v>
      </c>
      <c r="G533" s="39">
        <v>0</v>
      </c>
      <c r="H533" s="37"/>
      <c r="I533" s="37" t="str">
        <f>""</f>
        <v/>
      </c>
    </row>
    <row r="534" spans="1:9" ht="15" customHeight="1">
      <c r="A534" s="37"/>
      <c r="B534" s="37" t="s">
        <v>13</v>
      </c>
      <c r="C534" s="37" t="s">
        <v>239</v>
      </c>
      <c r="D534" s="39">
        <v>500</v>
      </c>
      <c r="E534" s="39">
        <v>225</v>
      </c>
      <c r="F534" s="39">
        <f t="shared" si="21"/>
        <v>725</v>
      </c>
      <c r="G534" s="39">
        <v>0</v>
      </c>
      <c r="H534" s="37"/>
      <c r="I534" s="37" t="str">
        <f>""</f>
        <v/>
      </c>
    </row>
    <row r="535" spans="1:9" ht="15" customHeight="1">
      <c r="A535" s="37"/>
      <c r="B535" s="37" t="s">
        <v>13</v>
      </c>
      <c r="C535" s="37" t="s">
        <v>240</v>
      </c>
      <c r="D535" s="39">
        <v>500</v>
      </c>
      <c r="E535" s="39">
        <v>0</v>
      </c>
      <c r="F535" s="39">
        <f t="shared" si="21"/>
        <v>500</v>
      </c>
      <c r="G535" s="39">
        <v>0</v>
      </c>
      <c r="H535" s="37"/>
      <c r="I535" s="37" t="str">
        <f>""</f>
        <v/>
      </c>
    </row>
    <row r="536" spans="1:9" ht="15" customHeight="1">
      <c r="A536" s="37"/>
      <c r="B536" s="37"/>
      <c r="C536" s="37"/>
      <c r="D536" s="39"/>
      <c r="E536" s="39"/>
      <c r="F536" s="39"/>
      <c r="G536" s="39"/>
      <c r="H536" s="37"/>
      <c r="I536" s="37" t="str">
        <f>""</f>
        <v/>
      </c>
    </row>
    <row r="537" spans="1:9" ht="15" customHeight="1">
      <c r="A537" s="37"/>
      <c r="B537" s="37" t="s">
        <v>14</v>
      </c>
      <c r="C537" s="37" t="s">
        <v>241</v>
      </c>
      <c r="D537" s="39">
        <v>4200</v>
      </c>
      <c r="E537" s="39">
        <v>225</v>
      </c>
      <c r="F537" s="39">
        <f t="shared" ref="F537:F540" si="22">D537+E537</f>
        <v>4425</v>
      </c>
      <c r="G537" s="39">
        <v>0</v>
      </c>
      <c r="H537" s="37"/>
      <c r="I537" s="37" t="str">
        <f>""</f>
        <v/>
      </c>
    </row>
    <row r="538" spans="1:9" ht="15" customHeight="1">
      <c r="A538" s="37"/>
      <c r="B538" s="37" t="s">
        <v>14</v>
      </c>
      <c r="C538" s="37" t="s">
        <v>242</v>
      </c>
      <c r="D538" s="39">
        <v>4200</v>
      </c>
      <c r="E538" s="39">
        <v>0</v>
      </c>
      <c r="F538" s="39">
        <f t="shared" si="22"/>
        <v>4200</v>
      </c>
      <c r="G538" s="39">
        <v>0</v>
      </c>
      <c r="H538" s="37"/>
      <c r="I538" s="37" t="str">
        <f>""</f>
        <v/>
      </c>
    </row>
    <row r="539" spans="1:9" ht="15" customHeight="1">
      <c r="A539" s="37"/>
      <c r="B539" s="37" t="s">
        <v>14</v>
      </c>
      <c r="C539" s="37" t="s">
        <v>243</v>
      </c>
      <c r="D539" s="39">
        <v>0</v>
      </c>
      <c r="E539" s="39">
        <v>0</v>
      </c>
      <c r="F539" s="39">
        <f t="shared" si="22"/>
        <v>0</v>
      </c>
      <c r="G539" s="39">
        <v>0</v>
      </c>
      <c r="H539" s="37"/>
      <c r="I539" s="37" t="s">
        <v>128</v>
      </c>
    </row>
    <row r="540" spans="1:9" ht="15" customHeight="1">
      <c r="A540" s="37"/>
      <c r="B540" s="37" t="s">
        <v>14</v>
      </c>
      <c r="C540" s="37" t="s">
        <v>244</v>
      </c>
      <c r="D540" s="39">
        <v>0</v>
      </c>
      <c r="E540" s="39">
        <v>0</v>
      </c>
      <c r="F540" s="39">
        <f t="shared" si="22"/>
        <v>0</v>
      </c>
      <c r="G540" s="39">
        <v>0</v>
      </c>
      <c r="H540" s="37"/>
      <c r="I540" s="37" t="s">
        <v>128</v>
      </c>
    </row>
    <row r="541" spans="1:9" ht="15" customHeight="1">
      <c r="A541" s="37"/>
      <c r="B541" s="37"/>
      <c r="C541" s="37"/>
      <c r="D541" s="39"/>
      <c r="E541" s="39"/>
      <c r="F541" s="39"/>
      <c r="G541" s="39"/>
      <c r="H541" s="37"/>
      <c r="I541" s="37" t="str">
        <f>""</f>
        <v/>
      </c>
    </row>
    <row r="542" spans="1:9" ht="15" customHeight="1">
      <c r="A542" s="37"/>
      <c r="B542" s="37" t="s">
        <v>102</v>
      </c>
      <c r="C542" s="37" t="s">
        <v>245</v>
      </c>
      <c r="D542" s="39">
        <v>4200</v>
      </c>
      <c r="E542" s="39">
        <v>225</v>
      </c>
      <c r="F542" s="39">
        <f t="shared" ref="F542:F545" si="23">D542+E542</f>
        <v>4425</v>
      </c>
      <c r="G542" s="39">
        <v>150</v>
      </c>
      <c r="H542" s="39" t="s">
        <v>23</v>
      </c>
      <c r="I542" s="37" t="str">
        <f>""</f>
        <v/>
      </c>
    </row>
    <row r="543" spans="1:9" ht="15" customHeight="1">
      <c r="A543" s="37"/>
      <c r="B543" s="37" t="s">
        <v>102</v>
      </c>
      <c r="C543" s="37" t="s">
        <v>246</v>
      </c>
      <c r="D543" s="39">
        <v>4200</v>
      </c>
      <c r="E543" s="39">
        <v>0</v>
      </c>
      <c r="F543" s="39">
        <f t="shared" si="23"/>
        <v>4200</v>
      </c>
      <c r="G543" s="39">
        <v>150</v>
      </c>
      <c r="H543" s="39" t="s">
        <v>23</v>
      </c>
      <c r="I543" s="37" t="str">
        <f>""</f>
        <v/>
      </c>
    </row>
    <row r="544" spans="1:9" ht="15" customHeight="1">
      <c r="A544" s="37"/>
      <c r="B544" s="37" t="s">
        <v>102</v>
      </c>
      <c r="C544" s="37" t="s">
        <v>247</v>
      </c>
      <c r="D544" s="39">
        <v>0</v>
      </c>
      <c r="E544" s="39">
        <v>0</v>
      </c>
      <c r="F544" s="39">
        <f t="shared" si="23"/>
        <v>0</v>
      </c>
      <c r="G544" s="39">
        <v>0</v>
      </c>
      <c r="H544" s="39"/>
      <c r="I544" s="37" t="s">
        <v>128</v>
      </c>
    </row>
    <row r="545" spans="1:9" ht="15" customHeight="1">
      <c r="A545" s="37"/>
      <c r="B545" s="37" t="s">
        <v>102</v>
      </c>
      <c r="C545" s="37" t="s">
        <v>248</v>
      </c>
      <c r="D545" s="39">
        <v>0</v>
      </c>
      <c r="E545" s="39">
        <v>0</v>
      </c>
      <c r="F545" s="39">
        <f t="shared" si="23"/>
        <v>0</v>
      </c>
      <c r="G545" s="39">
        <v>0</v>
      </c>
      <c r="H545" s="39"/>
      <c r="I545" s="37" t="s">
        <v>128</v>
      </c>
    </row>
    <row r="546" spans="1:9" ht="15" customHeight="1">
      <c r="A546" s="37"/>
      <c r="B546" s="37"/>
      <c r="C546" s="37"/>
      <c r="D546" s="39"/>
      <c r="E546" s="39"/>
      <c r="F546" s="39"/>
      <c r="G546" s="39"/>
      <c r="H546" s="39"/>
      <c r="I546" s="37" t="str">
        <f>""</f>
        <v/>
      </c>
    </row>
    <row r="547" spans="1:9" ht="15" customHeight="1">
      <c r="A547" s="37"/>
      <c r="B547" s="39" t="s">
        <v>103</v>
      </c>
      <c r="C547" s="37" t="s">
        <v>249</v>
      </c>
      <c r="D547" s="39">
        <f>3750+(71-10)*150</f>
        <v>12900</v>
      </c>
      <c r="E547" s="39">
        <v>0</v>
      </c>
      <c r="F547" s="39">
        <f t="shared" ref="F547:F551" si="24">D547+E547</f>
        <v>12900</v>
      </c>
      <c r="G547" s="39">
        <v>150</v>
      </c>
      <c r="H547" s="39" t="s">
        <v>104</v>
      </c>
      <c r="I547" s="37"/>
    </row>
    <row r="548" spans="1:9" ht="15" customHeight="1">
      <c r="A548" s="37"/>
      <c r="B548" s="39" t="s">
        <v>103</v>
      </c>
      <c r="C548" s="37" t="s">
        <v>250</v>
      </c>
      <c r="D548" s="39">
        <f>3750+(71-10)*150</f>
        <v>12900</v>
      </c>
      <c r="E548" s="39">
        <v>0</v>
      </c>
      <c r="F548" s="39">
        <f t="shared" si="24"/>
        <v>12900</v>
      </c>
      <c r="G548" s="39">
        <v>150</v>
      </c>
      <c r="H548" s="39" t="s">
        <v>104</v>
      </c>
      <c r="I548" s="37" t="str">
        <f>""</f>
        <v/>
      </c>
    </row>
    <row r="549" spans="1:9" ht="15" customHeight="1">
      <c r="A549" s="37"/>
      <c r="B549" s="39" t="s">
        <v>103</v>
      </c>
      <c r="C549" s="37" t="s">
        <v>251</v>
      </c>
      <c r="D549" s="39">
        <f t="shared" ref="D549:D551" si="25">3750+(71-10)*150</f>
        <v>12900</v>
      </c>
      <c r="E549" s="39">
        <v>0</v>
      </c>
      <c r="F549" s="39">
        <f t="shared" si="24"/>
        <v>12900</v>
      </c>
      <c r="G549" s="39">
        <v>150</v>
      </c>
      <c r="H549" s="39" t="s">
        <v>104</v>
      </c>
      <c r="I549" s="37" t="str">
        <f>""</f>
        <v/>
      </c>
    </row>
    <row r="550" spans="1:9" ht="15" customHeight="1">
      <c r="A550" s="37"/>
      <c r="B550" s="39" t="s">
        <v>103</v>
      </c>
      <c r="C550" s="37" t="s">
        <v>252</v>
      </c>
      <c r="D550" s="39">
        <f t="shared" si="25"/>
        <v>12900</v>
      </c>
      <c r="E550" s="39">
        <v>0</v>
      </c>
      <c r="F550" s="39">
        <f t="shared" si="24"/>
        <v>12900</v>
      </c>
      <c r="G550" s="39">
        <v>150</v>
      </c>
      <c r="H550" s="39" t="s">
        <v>104</v>
      </c>
      <c r="I550" s="37" t="str">
        <f>""</f>
        <v/>
      </c>
    </row>
    <row r="551" spans="1:9" ht="15" customHeight="1">
      <c r="A551" s="37"/>
      <c r="B551" s="39" t="s">
        <v>103</v>
      </c>
      <c r="C551" s="37" t="s">
        <v>253</v>
      </c>
      <c r="D551" s="39">
        <f t="shared" si="25"/>
        <v>12900</v>
      </c>
      <c r="E551" s="39">
        <v>0</v>
      </c>
      <c r="F551" s="39">
        <f t="shared" si="24"/>
        <v>12900</v>
      </c>
      <c r="G551" s="39">
        <v>150</v>
      </c>
      <c r="H551" s="39" t="s">
        <v>104</v>
      </c>
      <c r="I551" s="37" t="str">
        <f>""</f>
        <v/>
      </c>
    </row>
    <row r="552" spans="1:9" ht="15" customHeight="1">
      <c r="A552" s="37"/>
      <c r="B552" s="39"/>
      <c r="C552" s="39"/>
      <c r="D552" s="39"/>
      <c r="E552" s="39"/>
      <c r="F552" s="39"/>
      <c r="G552" s="39"/>
      <c r="H552" s="39"/>
      <c r="I552" s="37" t="str">
        <f>""</f>
        <v/>
      </c>
    </row>
    <row r="553" spans="1:9" ht="15" customHeight="1">
      <c r="A553" s="37"/>
      <c r="B553" s="37" t="s">
        <v>15</v>
      </c>
      <c r="C553" s="37" t="s">
        <v>254</v>
      </c>
      <c r="D553" s="39">
        <v>500</v>
      </c>
      <c r="E553" s="39">
        <v>450</v>
      </c>
      <c r="F553" s="39">
        <f t="shared" ref="F553:F556" si="26">D553+E553</f>
        <v>950</v>
      </c>
      <c r="G553" s="39">
        <v>0</v>
      </c>
      <c r="H553" s="39"/>
      <c r="I553" s="37" t="str">
        <f>""</f>
        <v/>
      </c>
    </row>
    <row r="554" spans="1:9" ht="15" customHeight="1">
      <c r="A554" s="37"/>
      <c r="B554" s="37" t="s">
        <v>15</v>
      </c>
      <c r="C554" s="37" t="s">
        <v>255</v>
      </c>
      <c r="D554" s="39">
        <v>500</v>
      </c>
      <c r="E554" s="39">
        <v>450</v>
      </c>
      <c r="F554" s="39">
        <f t="shared" si="26"/>
        <v>950</v>
      </c>
      <c r="G554" s="39">
        <v>0</v>
      </c>
      <c r="H554" s="37"/>
      <c r="I554" s="37" t="str">
        <f>""</f>
        <v/>
      </c>
    </row>
    <row r="555" spans="1:9" ht="15" customHeight="1">
      <c r="A555" s="37"/>
      <c r="B555" s="37" t="s">
        <v>15</v>
      </c>
      <c r="C555" s="37" t="s">
        <v>256</v>
      </c>
      <c r="D555" s="39">
        <v>500</v>
      </c>
      <c r="E555" s="39">
        <v>225</v>
      </c>
      <c r="F555" s="39">
        <f t="shared" si="26"/>
        <v>725</v>
      </c>
      <c r="G555" s="39">
        <v>0</v>
      </c>
      <c r="H555" s="37"/>
      <c r="I555" s="37" t="str">
        <f>""</f>
        <v/>
      </c>
    </row>
    <row r="556" spans="1:9" ht="15" customHeight="1">
      <c r="A556" s="37"/>
      <c r="B556" s="37" t="s">
        <v>15</v>
      </c>
      <c r="C556" s="37" t="s">
        <v>257</v>
      </c>
      <c r="D556" s="39">
        <v>500</v>
      </c>
      <c r="E556" s="39"/>
      <c r="F556" s="39">
        <f t="shared" si="26"/>
        <v>500</v>
      </c>
      <c r="G556" s="39">
        <v>0</v>
      </c>
      <c r="H556" s="37"/>
      <c r="I556" s="37" t="str">
        <f>""</f>
        <v/>
      </c>
    </row>
    <row r="557" spans="1:9" ht="15" customHeight="1">
      <c r="A557" s="37"/>
      <c r="B557" s="37"/>
      <c r="C557" s="37"/>
      <c r="D557" s="39"/>
      <c r="E557" s="39"/>
      <c r="F557" s="39"/>
      <c r="G557" s="39"/>
      <c r="H557" s="37"/>
      <c r="I557" s="37" t="str">
        <f>""</f>
        <v/>
      </c>
    </row>
    <row r="558" spans="1:9" ht="15" customHeight="1">
      <c r="A558" s="37"/>
      <c r="B558" s="37" t="s">
        <v>16</v>
      </c>
      <c r="C558" s="37" t="s">
        <v>258</v>
      </c>
      <c r="D558" s="39">
        <v>4200</v>
      </c>
      <c r="E558" s="39">
        <v>225</v>
      </c>
      <c r="F558" s="39">
        <f t="shared" ref="F558:F561" si="27">D558+E558</f>
        <v>4425</v>
      </c>
      <c r="G558" s="39">
        <v>0</v>
      </c>
      <c r="H558" s="37"/>
      <c r="I558" s="37" t="str">
        <f>""</f>
        <v/>
      </c>
    </row>
    <row r="559" spans="1:9" ht="15" customHeight="1">
      <c r="A559" s="37"/>
      <c r="B559" s="37" t="s">
        <v>16</v>
      </c>
      <c r="C559" s="37" t="s">
        <v>259</v>
      </c>
      <c r="D559" s="39">
        <v>4200</v>
      </c>
      <c r="E559" s="39">
        <v>0</v>
      </c>
      <c r="F559" s="39">
        <f t="shared" si="27"/>
        <v>4200</v>
      </c>
      <c r="G559" s="39">
        <v>0</v>
      </c>
      <c r="H559" s="37"/>
      <c r="I559" s="37" t="str">
        <f>""</f>
        <v/>
      </c>
    </row>
    <row r="560" spans="1:9" ht="15" customHeight="1">
      <c r="A560" s="37"/>
      <c r="B560" s="37" t="s">
        <v>16</v>
      </c>
      <c r="C560" s="37" t="s">
        <v>260</v>
      </c>
      <c r="D560" s="39">
        <v>0</v>
      </c>
      <c r="E560" s="39">
        <v>0</v>
      </c>
      <c r="F560" s="39">
        <f t="shared" si="27"/>
        <v>0</v>
      </c>
      <c r="G560" s="39">
        <v>0</v>
      </c>
      <c r="H560" s="37"/>
      <c r="I560" s="37" t="s">
        <v>128</v>
      </c>
    </row>
    <row r="561" spans="1:9" ht="15" customHeight="1">
      <c r="A561" s="37"/>
      <c r="B561" s="37" t="s">
        <v>16</v>
      </c>
      <c r="C561" s="37" t="s">
        <v>261</v>
      </c>
      <c r="D561" s="39">
        <v>0</v>
      </c>
      <c r="E561" s="39">
        <v>0</v>
      </c>
      <c r="F561" s="39">
        <f t="shared" si="27"/>
        <v>0</v>
      </c>
      <c r="G561" s="39">
        <v>0</v>
      </c>
      <c r="H561" s="37"/>
      <c r="I561" s="37" t="s">
        <v>128</v>
      </c>
    </row>
    <row r="562" spans="1:9" ht="15" customHeight="1">
      <c r="A562" s="37"/>
      <c r="B562" s="37"/>
      <c r="C562" s="37"/>
      <c r="D562" s="39"/>
      <c r="E562" s="39"/>
      <c r="F562" s="39"/>
      <c r="G562" s="39"/>
      <c r="H562" s="37"/>
      <c r="I562" s="37" t="str">
        <f>""</f>
        <v/>
      </c>
    </row>
    <row r="563" spans="1:9" ht="15" customHeight="1">
      <c r="A563" s="37"/>
      <c r="B563" s="37" t="s">
        <v>101</v>
      </c>
      <c r="C563" s="37" t="s">
        <v>262</v>
      </c>
      <c r="D563" s="39">
        <v>4200</v>
      </c>
      <c r="E563" s="39">
        <v>225</v>
      </c>
      <c r="F563" s="39">
        <f t="shared" ref="F563:F566" si="28">D563+E563</f>
        <v>4425</v>
      </c>
      <c r="G563" s="39">
        <v>150</v>
      </c>
      <c r="H563" s="39" t="s">
        <v>23</v>
      </c>
      <c r="I563" s="37" t="str">
        <f>""</f>
        <v/>
      </c>
    </row>
    <row r="564" spans="1:9" ht="15" customHeight="1">
      <c r="A564" s="37"/>
      <c r="B564" s="37" t="s">
        <v>101</v>
      </c>
      <c r="C564" s="37" t="s">
        <v>263</v>
      </c>
      <c r="D564" s="39">
        <v>4200</v>
      </c>
      <c r="E564" s="39">
        <v>0</v>
      </c>
      <c r="F564" s="39">
        <f t="shared" si="28"/>
        <v>4200</v>
      </c>
      <c r="G564" s="39">
        <v>150</v>
      </c>
      <c r="H564" s="39" t="s">
        <v>23</v>
      </c>
      <c r="I564" s="37" t="str">
        <f>""</f>
        <v/>
      </c>
    </row>
    <row r="565" spans="1:9" ht="15" customHeight="1">
      <c r="A565" s="37"/>
      <c r="B565" s="37" t="s">
        <v>101</v>
      </c>
      <c r="C565" s="37" t="s">
        <v>264</v>
      </c>
      <c r="D565" s="39">
        <v>0</v>
      </c>
      <c r="E565" s="39">
        <v>0</v>
      </c>
      <c r="F565" s="39">
        <f t="shared" si="28"/>
        <v>0</v>
      </c>
      <c r="G565" s="39">
        <v>0</v>
      </c>
      <c r="H565" s="39" t="s">
        <v>23</v>
      </c>
      <c r="I565" s="37" t="s">
        <v>128</v>
      </c>
    </row>
    <row r="566" spans="1:9" ht="15" customHeight="1">
      <c r="A566" s="37"/>
      <c r="B566" s="37" t="s">
        <v>101</v>
      </c>
      <c r="C566" s="37" t="s">
        <v>265</v>
      </c>
      <c r="D566" s="39">
        <v>0</v>
      </c>
      <c r="E566" s="39">
        <v>0</v>
      </c>
      <c r="F566" s="39">
        <f t="shared" si="28"/>
        <v>0</v>
      </c>
      <c r="G566" s="39">
        <v>0</v>
      </c>
      <c r="H566" s="39" t="s">
        <v>23</v>
      </c>
      <c r="I566" s="37" t="s">
        <v>128</v>
      </c>
    </row>
    <row r="567" spans="1:9" ht="15" customHeight="1">
      <c r="A567" s="37"/>
      <c r="B567" s="37"/>
      <c r="C567" s="37"/>
      <c r="D567" s="39"/>
      <c r="E567" s="39"/>
      <c r="F567" s="39"/>
      <c r="G567" s="39"/>
      <c r="H567" s="39"/>
      <c r="I567" s="37" t="str">
        <f>""</f>
        <v/>
      </c>
    </row>
    <row r="568" spans="1:9" ht="15" customHeight="1">
      <c r="A568" s="37"/>
      <c r="B568" s="39" t="s">
        <v>100</v>
      </c>
      <c r="C568" s="37" t="s">
        <v>266</v>
      </c>
      <c r="D568" s="39">
        <f>3750+(71-10)*150</f>
        <v>12900</v>
      </c>
      <c r="E568" s="39">
        <v>0</v>
      </c>
      <c r="F568" s="39">
        <f t="shared" ref="F568:F572" si="29">D568+E568</f>
        <v>12900</v>
      </c>
      <c r="G568" s="39">
        <v>150</v>
      </c>
      <c r="H568" s="39" t="s">
        <v>104</v>
      </c>
      <c r="I568" s="37"/>
    </row>
    <row r="569" spans="1:9" ht="15" customHeight="1">
      <c r="A569" s="37"/>
      <c r="B569" s="39" t="s">
        <v>100</v>
      </c>
      <c r="C569" s="37" t="s">
        <v>267</v>
      </c>
      <c r="D569" s="39">
        <f>3750+(71-10)*150</f>
        <v>12900</v>
      </c>
      <c r="E569" s="39">
        <v>0</v>
      </c>
      <c r="F569" s="39">
        <f t="shared" si="29"/>
        <v>12900</v>
      </c>
      <c r="G569" s="39">
        <v>150</v>
      </c>
      <c r="H569" s="39" t="s">
        <v>104</v>
      </c>
      <c r="I569" s="37" t="str">
        <f>""</f>
        <v/>
      </c>
    </row>
    <row r="570" spans="1:9" ht="15" customHeight="1">
      <c r="A570" s="37"/>
      <c r="B570" s="39" t="s">
        <v>100</v>
      </c>
      <c r="C570" s="37" t="s">
        <v>268</v>
      </c>
      <c r="D570" s="39">
        <f t="shared" ref="D570:D572" si="30">3750+(71-10)*150</f>
        <v>12900</v>
      </c>
      <c r="E570" s="39">
        <v>0</v>
      </c>
      <c r="F570" s="39">
        <f t="shared" si="29"/>
        <v>12900</v>
      </c>
      <c r="G570" s="39">
        <v>150</v>
      </c>
      <c r="H570" s="39" t="s">
        <v>104</v>
      </c>
      <c r="I570" s="37" t="str">
        <f>""</f>
        <v/>
      </c>
    </row>
    <row r="571" spans="1:9" ht="15" customHeight="1">
      <c r="A571" s="37"/>
      <c r="B571" s="39" t="s">
        <v>100</v>
      </c>
      <c r="C571" s="37" t="s">
        <v>269</v>
      </c>
      <c r="D571" s="39">
        <f t="shared" si="30"/>
        <v>12900</v>
      </c>
      <c r="E571" s="39">
        <v>0</v>
      </c>
      <c r="F571" s="39">
        <f t="shared" si="29"/>
        <v>12900</v>
      </c>
      <c r="G571" s="39">
        <v>150</v>
      </c>
      <c r="H571" s="39" t="s">
        <v>104</v>
      </c>
      <c r="I571" s="37" t="str">
        <f>""</f>
        <v/>
      </c>
    </row>
    <row r="572" spans="1:9" ht="15" customHeight="1">
      <c r="A572" s="37"/>
      <c r="B572" s="39" t="s">
        <v>100</v>
      </c>
      <c r="C572" s="37" t="s">
        <v>270</v>
      </c>
      <c r="D572" s="39">
        <f t="shared" si="30"/>
        <v>12900</v>
      </c>
      <c r="E572" s="39">
        <v>0</v>
      </c>
      <c r="F572" s="39">
        <f t="shared" si="29"/>
        <v>12900</v>
      </c>
      <c r="G572" s="39">
        <v>150</v>
      </c>
      <c r="H572" s="39" t="s">
        <v>104</v>
      </c>
      <c r="I572" s="37" t="str">
        <f>""</f>
        <v/>
      </c>
    </row>
    <row r="573" spans="1:9" ht="15" customHeight="1">
      <c r="A573" s="37"/>
      <c r="B573" s="39"/>
      <c r="C573" s="37"/>
      <c r="D573" s="39"/>
      <c r="E573" s="39"/>
      <c r="F573" s="39"/>
      <c r="G573" s="39"/>
      <c r="H573" s="39"/>
      <c r="I573" s="37"/>
    </row>
    <row r="574" spans="1:9" ht="15" customHeight="1">
      <c r="A574" s="37"/>
      <c r="B574" s="39"/>
      <c r="C574" s="37"/>
      <c r="D574" s="39"/>
      <c r="E574" s="39"/>
      <c r="F574" s="39"/>
      <c r="G574" s="39"/>
      <c r="H574" s="39"/>
      <c r="I574" s="37"/>
    </row>
    <row r="575" spans="1:9" ht="15" customHeight="1">
      <c r="A575" s="37"/>
      <c r="B575" s="34" t="s">
        <v>9</v>
      </c>
      <c r="C575" s="34" t="s">
        <v>10</v>
      </c>
      <c r="D575" s="35" t="s">
        <v>11</v>
      </c>
      <c r="E575" s="3"/>
      <c r="F575" s="3"/>
      <c r="G575" s="3"/>
    </row>
    <row r="576" spans="1:9" ht="15" customHeight="1">
      <c r="A576" s="37"/>
      <c r="B576" s="37" t="s">
        <v>35</v>
      </c>
      <c r="C576" s="37" t="s">
        <v>35</v>
      </c>
      <c r="D576" s="41">
        <v>0</v>
      </c>
      <c r="E576" s="3"/>
      <c r="F576" s="3"/>
      <c r="G576" s="3"/>
    </row>
    <row r="577" spans="1:8" ht="15" customHeight="1">
      <c r="A577" s="37"/>
      <c r="B577" s="37" t="s">
        <v>9</v>
      </c>
      <c r="C577" s="37" t="s">
        <v>120</v>
      </c>
      <c r="D577" s="39">
        <v>1000</v>
      </c>
      <c r="E577" s="3"/>
      <c r="F577" s="3"/>
      <c r="G577" s="3"/>
      <c r="H577" s="3" t="s">
        <v>27</v>
      </c>
    </row>
    <row r="578" spans="1:8" ht="15" customHeight="1">
      <c r="A578" s="37"/>
      <c r="B578" s="37" t="s">
        <v>9</v>
      </c>
      <c r="C578" s="37" t="s">
        <v>121</v>
      </c>
      <c r="D578" s="39">
        <v>2000</v>
      </c>
      <c r="E578" s="3"/>
      <c r="F578" s="3"/>
      <c r="G578" s="3"/>
      <c r="H578" s="3" t="s">
        <v>27</v>
      </c>
    </row>
    <row r="579" spans="1:8" ht="15" customHeight="1">
      <c r="A579" s="37"/>
      <c r="B579" s="37" t="s">
        <v>17</v>
      </c>
      <c r="C579" s="37" t="s">
        <v>122</v>
      </c>
      <c r="D579" s="39">
        <v>1200</v>
      </c>
      <c r="E579" s="3"/>
      <c r="F579" s="3"/>
      <c r="G579" s="3"/>
      <c r="H579" s="3" t="s">
        <v>27</v>
      </c>
    </row>
    <row r="580" spans="1:8" ht="15" customHeight="1">
      <c r="A580" s="37"/>
      <c r="B580" s="37" t="s">
        <v>17</v>
      </c>
      <c r="C580" s="37" t="s">
        <v>123</v>
      </c>
      <c r="D580" s="39">
        <v>2100</v>
      </c>
      <c r="E580" s="3"/>
      <c r="F580" s="3"/>
      <c r="G580" s="3"/>
      <c r="H580" s="3" t="s">
        <v>27</v>
      </c>
    </row>
    <row r="581" spans="1:8" ht="15" customHeight="1">
      <c r="A581" s="37"/>
      <c r="B581" s="37" t="s">
        <v>9</v>
      </c>
      <c r="C581" s="37" t="s">
        <v>124</v>
      </c>
      <c r="D581" s="39">
        <v>1000</v>
      </c>
      <c r="F581" s="3"/>
      <c r="G581" s="3"/>
      <c r="H581" s="3" t="s">
        <v>27</v>
      </c>
    </row>
    <row r="582" spans="1:8" ht="15" customHeight="1">
      <c r="A582" s="37"/>
      <c r="B582" s="37" t="s">
        <v>9</v>
      </c>
      <c r="C582" s="37" t="s">
        <v>125</v>
      </c>
      <c r="D582" s="39">
        <v>1400</v>
      </c>
      <c r="E582" s="113"/>
      <c r="F582" s="3"/>
      <c r="G582" s="3"/>
      <c r="H582" s="3" t="s">
        <v>27</v>
      </c>
    </row>
    <row r="583" spans="1:8" ht="15" customHeight="1">
      <c r="A583" s="37"/>
      <c r="B583" s="37" t="s">
        <v>17</v>
      </c>
      <c r="C583" s="37" t="s">
        <v>126</v>
      </c>
      <c r="D583" s="39">
        <v>1200</v>
      </c>
      <c r="E583" s="6"/>
      <c r="F583" s="3"/>
      <c r="G583" s="3"/>
      <c r="H583" s="3" t="s">
        <v>27</v>
      </c>
    </row>
    <row r="584" spans="1:8" ht="15" customHeight="1">
      <c r="A584" s="37"/>
      <c r="B584" s="37" t="s">
        <v>17</v>
      </c>
      <c r="C584" s="37" t="s">
        <v>127</v>
      </c>
      <c r="D584" s="39">
        <v>1400</v>
      </c>
      <c r="E584" s="6"/>
      <c r="F584" s="3"/>
      <c r="G584" s="3"/>
      <c r="H584" s="3" t="s">
        <v>27</v>
      </c>
    </row>
    <row r="585" spans="1:8" ht="15" customHeight="1">
      <c r="A585" s="37"/>
      <c r="B585" s="37"/>
      <c r="C585" s="37"/>
      <c r="D585" s="37"/>
    </row>
    <row r="586" spans="1:8" ht="15" customHeight="1">
      <c r="A586" s="37"/>
      <c r="B586" s="34" t="s">
        <v>22</v>
      </c>
      <c r="C586" s="34" t="s">
        <v>10</v>
      </c>
      <c r="D586" s="36" t="s">
        <v>11</v>
      </c>
    </row>
    <row r="587" spans="1:8" ht="15" customHeight="1">
      <c r="A587" s="37"/>
      <c r="B587" s="37" t="s">
        <v>111</v>
      </c>
      <c r="C587" s="37" t="s">
        <v>111</v>
      </c>
      <c r="D587" s="38">
        <v>0</v>
      </c>
    </row>
    <row r="588" spans="1:8" ht="15" customHeight="1">
      <c r="A588" s="37"/>
      <c r="B588" s="37" t="s">
        <v>114</v>
      </c>
      <c r="C588" s="37" t="s">
        <v>117</v>
      </c>
      <c r="D588" s="37">
        <v>3325</v>
      </c>
    </row>
    <row r="589" spans="1:8" ht="15" customHeight="1">
      <c r="A589" s="37"/>
      <c r="B589" s="37" t="s">
        <v>114</v>
      </c>
      <c r="C589" s="37" t="s">
        <v>115</v>
      </c>
      <c r="D589" s="37">
        <v>3775</v>
      </c>
    </row>
    <row r="590" spans="1:8" ht="15" customHeight="1">
      <c r="A590" s="37"/>
      <c r="B590" s="37"/>
      <c r="C590" s="37"/>
      <c r="D590" s="37"/>
    </row>
    <row r="591" spans="1:8" ht="15" customHeight="1">
      <c r="A591" s="37"/>
      <c r="B591" s="34" t="s">
        <v>48</v>
      </c>
      <c r="C591" s="34" t="s">
        <v>10</v>
      </c>
      <c r="D591" s="37"/>
      <c r="H591" t="s">
        <v>49</v>
      </c>
    </row>
    <row r="592" spans="1:8">
      <c r="A592" s="37"/>
      <c r="B592" s="37" t="s">
        <v>47</v>
      </c>
      <c r="C592" s="37" t="s">
        <v>47</v>
      </c>
      <c r="D592" s="37">
        <v>0</v>
      </c>
    </row>
    <row r="593" spans="1:4">
      <c r="A593" s="37"/>
      <c r="B593" s="37" t="s">
        <v>48</v>
      </c>
      <c r="C593" s="37" t="s">
        <v>48</v>
      </c>
      <c r="D593" s="37">
        <v>400</v>
      </c>
    </row>
    <row r="595" spans="1:4">
      <c r="C595" s="30"/>
    </row>
    <row r="611" spans="2:2">
      <c r="B611" s="2"/>
    </row>
  </sheetData>
  <mergeCells count="2">
    <mergeCell ref="M2:M10"/>
    <mergeCell ref="N7:N10"/>
  </mergeCells>
  <phoneticPr fontId="15" type="noConversion"/>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Keuzeblad maatregelen</vt:lpstr>
      <vt:lpstr>Afdrukoverzicht subsidiebedrag</vt:lpstr>
      <vt:lpstr>Hulpblad</vt:lpstr>
      <vt:lpstr>'Afdrukoverzicht subsidiebedrag'!Afdrukbereik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Rekentool ISDE voor woningeigenaren</dc:title>
  <dc:creator>RVO</dc:creator>
  <cp:lastModifiedBy>RVO</cp:lastModifiedBy>
  <cp:lastPrinted>2023-11-27T15:40:11Z</cp:lastPrinted>
  <dcterms:created xsi:type="dcterms:W3CDTF">2022-12-13T15:32:06Z</dcterms:created>
  <dcterms:modified xsi:type="dcterms:W3CDTF">2024-12-16T11:28:51Z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2023-01-10T14:01:25Z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fbfdfdd3-89c4-4a30-bc4e-0c20dc78271d</vt:lpwstr>
  </property>
  <property fmtid="{D5CDD505-2E9C-101B-9397-08002B2CF9AE}" pid="8" name="MSIP_Label_4bde8109-f994-4a60-a1d3-5c95e2ff3620_ContentBits">
    <vt:lpwstr>0</vt:lpwstr>
  </property>
</Properties>
</file>